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отчет" sheetId="1" r:id="rId1"/>
    <sheet name="расшифровка ФОТ" sheetId="2" r:id="rId2"/>
    <sheet name="провайдеры" sheetId="4" r:id="rId3"/>
    <sheet name="Лист1" sheetId="5" r:id="rId4"/>
  </sheets>
  <calcPr calcId="124519" refMode="R1C1"/>
</workbook>
</file>

<file path=xl/calcChain.xml><?xml version="1.0" encoding="utf-8"?>
<calcChain xmlns="http://schemas.openxmlformats.org/spreadsheetml/2006/main">
  <c r="E22" i="1"/>
  <c r="B54"/>
  <c r="B55" s="1"/>
  <c r="C55"/>
  <c r="C54"/>
  <c r="D55"/>
  <c r="E55"/>
  <c r="B15"/>
  <c r="B14"/>
  <c r="B11"/>
  <c r="B52"/>
  <c r="B49"/>
  <c r="B40"/>
  <c r="B36"/>
  <c r="B35"/>
  <c r="B51"/>
  <c r="B48"/>
  <c r="B47"/>
  <c r="B37"/>
  <c r="B38"/>
  <c r="B39"/>
  <c r="C46"/>
  <c r="B46" s="1"/>
  <c r="B43"/>
  <c r="D44"/>
  <c r="C44"/>
  <c r="E44"/>
  <c r="B30"/>
  <c r="E19" i="2"/>
  <c r="E20"/>
  <c r="E21"/>
  <c r="E22"/>
  <c r="E18"/>
  <c r="D19"/>
  <c r="D20"/>
  <c r="D21"/>
  <c r="D22"/>
  <c r="D18"/>
  <c r="E6"/>
  <c r="E7"/>
  <c r="E8"/>
  <c r="E9"/>
  <c r="E10"/>
  <c r="E11"/>
  <c r="E12"/>
  <c r="E13"/>
  <c r="E5"/>
  <c r="D6"/>
  <c r="D7"/>
  <c r="D8"/>
  <c r="D9"/>
  <c r="D10"/>
  <c r="D11"/>
  <c r="D12"/>
  <c r="D13"/>
  <c r="D5"/>
  <c r="B10" i="1"/>
  <c r="C23" i="2"/>
  <c r="B23"/>
  <c r="F21"/>
  <c r="B14"/>
  <c r="C14"/>
  <c r="B18" i="1"/>
  <c r="B17"/>
  <c r="B33" l="1"/>
  <c r="B12"/>
  <c r="B44"/>
  <c r="F5" i="2"/>
  <c r="F6"/>
  <c r="F10"/>
  <c r="F8"/>
  <c r="F12"/>
  <c r="D23"/>
  <c r="F20"/>
  <c r="F22"/>
  <c r="E23"/>
  <c r="F19"/>
  <c r="F13"/>
  <c r="F9"/>
  <c r="F11"/>
  <c r="F7"/>
  <c r="D14"/>
  <c r="B13" i="1"/>
  <c r="B22" s="1"/>
  <c r="B58" l="1"/>
  <c r="F14" i="2"/>
  <c r="F18"/>
  <c r="F23" s="1"/>
  <c r="E14"/>
  <c r="E26" i="1" l="1"/>
  <c r="E27" s="1"/>
  <c r="D26"/>
  <c r="D27" s="1"/>
  <c r="C26"/>
  <c r="E8"/>
  <c r="D8"/>
  <c r="C8"/>
  <c r="E53" l="1"/>
  <c r="E50"/>
  <c r="E45"/>
  <c r="E41"/>
  <c r="E42"/>
  <c r="E40"/>
  <c r="E35"/>
  <c r="E52"/>
  <c r="E51"/>
  <c r="E48"/>
  <c r="E49"/>
  <c r="E47"/>
  <c r="D53"/>
  <c r="D40"/>
  <c r="D42"/>
  <c r="D41"/>
  <c r="D50"/>
  <c r="D45"/>
  <c r="D49"/>
  <c r="D48"/>
  <c r="D52"/>
  <c r="D51"/>
  <c r="D35"/>
  <c r="D33" s="1"/>
  <c r="D47"/>
  <c r="E28"/>
  <c r="E20"/>
  <c r="E30"/>
  <c r="E29"/>
  <c r="E31"/>
  <c r="E32"/>
  <c r="E21"/>
  <c r="E43"/>
  <c r="D31"/>
  <c r="D32"/>
  <c r="D28"/>
  <c r="D21"/>
  <c r="D22" s="1"/>
  <c r="D20"/>
  <c r="D29"/>
  <c r="D43"/>
  <c r="D30"/>
  <c r="B8"/>
  <c r="B26"/>
  <c r="C27"/>
  <c r="E33" l="1"/>
  <c r="E58" s="1"/>
  <c r="C42"/>
  <c r="C52"/>
  <c r="C35"/>
  <c r="C48"/>
  <c r="C41"/>
  <c r="C50"/>
  <c r="C45"/>
  <c r="C53"/>
  <c r="C40"/>
  <c r="C51"/>
  <c r="C49"/>
  <c r="C47"/>
  <c r="C28"/>
  <c r="C29"/>
  <c r="C21"/>
  <c r="C22" s="1"/>
  <c r="C31"/>
  <c r="C20"/>
  <c r="C32"/>
  <c r="C30"/>
  <c r="C43"/>
  <c r="D58"/>
  <c r="B27"/>
  <c r="C33" l="1"/>
  <c r="C58" s="1"/>
</calcChain>
</file>

<file path=xl/sharedStrings.xml><?xml version="1.0" encoding="utf-8"?>
<sst xmlns="http://schemas.openxmlformats.org/spreadsheetml/2006/main" count="95" uniqueCount="77">
  <si>
    <t>Техниеское обслуживание</t>
  </si>
  <si>
    <t>Начислено</t>
  </si>
  <si>
    <t>Платные услуги</t>
  </si>
  <si>
    <t>Дома</t>
  </si>
  <si>
    <t>Расходы</t>
  </si>
  <si>
    <t>итого затрат</t>
  </si>
  <si>
    <t>Контур (сдача отчетности)</t>
  </si>
  <si>
    <t>Канцтовары</t>
  </si>
  <si>
    <t>Обучение (Бурмистр)</t>
  </si>
  <si>
    <t>Сайт УК (личные кабинеты)</t>
  </si>
  <si>
    <t>Концентрат минеральный</t>
  </si>
  <si>
    <t>Проведение новогоднего праздника</t>
  </si>
  <si>
    <t>оплачено</t>
  </si>
  <si>
    <t>Жители</t>
  </si>
  <si>
    <t xml:space="preserve"> ФОТ АУП</t>
  </si>
  <si>
    <t>наименованоние должности</t>
  </si>
  <si>
    <t>Страховые взосы</t>
  </si>
  <si>
    <t>Затраты в год</t>
  </si>
  <si>
    <t>Генеральный директор</t>
  </si>
  <si>
    <t>Главный бухгалтер</t>
  </si>
  <si>
    <t>Юрист</t>
  </si>
  <si>
    <t>Бухгалтер РКЦ</t>
  </si>
  <si>
    <t>Экономист</t>
  </si>
  <si>
    <t>Специалист по работе с должниками</t>
  </si>
  <si>
    <t>Главный инженер</t>
  </si>
  <si>
    <t>Специалист договорного отдела</t>
  </si>
  <si>
    <t>Специалист паспортного стола</t>
  </si>
  <si>
    <t>ИТОГО</t>
  </si>
  <si>
    <t>Количество штатных единиц</t>
  </si>
  <si>
    <t>Оклад</t>
  </si>
  <si>
    <t>ФОТ в месяц</t>
  </si>
  <si>
    <t xml:space="preserve"> ФОТ РАБОЧИЕ</t>
  </si>
  <si>
    <t>Специалист АДС</t>
  </si>
  <si>
    <t>Электрик</t>
  </si>
  <si>
    <t>Сантехник</t>
  </si>
  <si>
    <t>Дворник</t>
  </si>
  <si>
    <t>Уборщица</t>
  </si>
  <si>
    <t>Расшифровка Фонда оплаты труда</t>
  </si>
  <si>
    <t>Вывоз снега</t>
  </si>
  <si>
    <t xml:space="preserve">       Отчет </t>
  </si>
  <si>
    <t>управляющей организации  ООО "ЭкоМир"</t>
  </si>
  <si>
    <t>Общая площадь дома</t>
  </si>
  <si>
    <t>Застройщик</t>
  </si>
  <si>
    <t>Всего собрано средств за год (техническое обслуживание+платные услуги)</t>
  </si>
  <si>
    <t>Заработная плата+начисления на ФОТ АУП</t>
  </si>
  <si>
    <t>Заработная плата+начисления на ФОТ Рабочие</t>
  </si>
  <si>
    <t>Начисления</t>
  </si>
  <si>
    <t>Процент распределения затрат пропорцианольно площади</t>
  </si>
  <si>
    <t>Аренда офисного помещения</t>
  </si>
  <si>
    <t>Общая площадь           дома</t>
  </si>
  <si>
    <t>Итого затрат в год</t>
  </si>
  <si>
    <t>Провайдеры</t>
  </si>
  <si>
    <t>ООО "Дрим Лайн"</t>
  </si>
  <si>
    <t>12/1</t>
  </si>
  <si>
    <t>Расшифровка платы взымаемой с интернет-провайдеров</t>
  </si>
  <si>
    <t>ПАО "Ростелеком"</t>
  </si>
  <si>
    <t>ООО "Зенком"</t>
  </si>
  <si>
    <t>ООО "Новая линия"</t>
  </si>
  <si>
    <t>ООО "Объединенные сети"</t>
  </si>
  <si>
    <t>по услугам, предоставляемым за отчетный период 2018г.</t>
  </si>
  <si>
    <t>Почтовые услуги</t>
  </si>
  <si>
    <t>Госпошлина за рассмотрение судебных исков</t>
  </si>
  <si>
    <t>Обслуживание программы "1С"</t>
  </si>
  <si>
    <t>Светильники</t>
  </si>
  <si>
    <t>Зеркало в лифт</t>
  </si>
  <si>
    <t>Циркуляционный насос</t>
  </si>
  <si>
    <t>Диагностика системы пожаротушения</t>
  </si>
  <si>
    <t>Мотор в ИТП</t>
  </si>
  <si>
    <t>Столбик бетонируемый</t>
  </si>
  <si>
    <t>Паспортно-регистрационные услуги</t>
  </si>
  <si>
    <t>Поверка теплосчетчиков</t>
  </si>
  <si>
    <t>Леруа</t>
  </si>
  <si>
    <t>Покрытие ковровое щетинистое</t>
  </si>
  <si>
    <t>Банковские услуги</t>
  </si>
  <si>
    <t>подотчетные лица</t>
  </si>
  <si>
    <t>Материалы для обслуживания МКД</t>
  </si>
  <si>
    <t>Ремонт лифтового оборудования</t>
  </si>
</sst>
</file>

<file path=xl/styles.xml><?xml version="1.0" encoding="utf-8"?>
<styleSheet xmlns="http://schemas.openxmlformats.org/spreadsheetml/2006/main">
  <numFmts count="1">
    <numFmt numFmtId="164" formatCode="000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2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i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64" fontId="0" fillId="0" borderId="0" xfId="0" applyNumberFormat="1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/>
    </xf>
    <xf numFmtId="0" fontId="0" fillId="0" borderId="1" xfId="0" applyFill="1" applyBorder="1"/>
    <xf numFmtId="0" fontId="0" fillId="0" borderId="1" xfId="0" applyBorder="1" applyAlignment="1">
      <alignment wrapText="1"/>
    </xf>
    <xf numFmtId="0" fontId="1" fillId="0" borderId="1" xfId="0" applyFont="1" applyBorder="1"/>
    <xf numFmtId="4" fontId="1" fillId="0" borderId="1" xfId="0" applyNumberFormat="1" applyFont="1" applyBorder="1"/>
    <xf numFmtId="4" fontId="0" fillId="0" borderId="1" xfId="0" applyNumberFormat="1" applyFont="1" applyBorder="1"/>
    <xf numFmtId="0" fontId="0" fillId="0" borderId="0" xfId="0" applyFont="1"/>
    <xf numFmtId="0" fontId="0" fillId="0" borderId="0" xfId="0" applyFill="1"/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" fontId="1" fillId="0" borderId="0" xfId="0" applyNumberFormat="1" applyFont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/>
    <xf numFmtId="0" fontId="1" fillId="0" borderId="1" xfId="0" applyFont="1" applyFill="1" applyBorder="1" applyAlignment="1">
      <alignment wrapText="1"/>
    </xf>
    <xf numFmtId="4" fontId="1" fillId="0" borderId="1" xfId="0" applyNumberFormat="1" applyFont="1" applyBorder="1" applyAlignment="1">
      <alignment vertical="center"/>
    </xf>
    <xf numFmtId="0" fontId="1" fillId="0" borderId="6" xfId="0" applyFon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10" fontId="0" fillId="0" borderId="1" xfId="0" applyNumberFormat="1" applyBorder="1" applyAlignment="1">
      <alignment horizontal="center" vertical="center"/>
    </xf>
    <xf numFmtId="0" fontId="0" fillId="0" borderId="0" xfId="0" applyAlignment="1"/>
    <xf numFmtId="49" fontId="1" fillId="0" borderId="1" xfId="0" applyNumberFormat="1" applyFont="1" applyBorder="1" applyAlignment="1">
      <alignment horizontal="center"/>
    </xf>
    <xf numFmtId="0" fontId="6" fillId="0" borderId="0" xfId="0" applyFont="1" applyAlignment="1"/>
    <xf numFmtId="0" fontId="7" fillId="0" borderId="0" xfId="0" applyFont="1"/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/>
    <xf numFmtId="4" fontId="7" fillId="0" borderId="1" xfId="0" applyNumberFormat="1" applyFont="1" applyBorder="1"/>
    <xf numFmtId="4" fontId="7" fillId="2" borderId="1" xfId="0" applyNumberFormat="1" applyFont="1" applyFill="1" applyBorder="1" applyAlignment="1">
      <alignment horizontal="right"/>
    </xf>
    <xf numFmtId="4" fontId="0" fillId="3" borderId="1" xfId="0" applyNumberFormat="1" applyFill="1" applyBorder="1"/>
    <xf numFmtId="4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4" fontId="0" fillId="0" borderId="1" xfId="0" applyNumberFormat="1" applyFill="1" applyBorder="1"/>
    <xf numFmtId="4" fontId="0" fillId="0" borderId="1" xfId="0" applyNumberForma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9"/>
  <sheetViews>
    <sheetView tabSelected="1" topLeftCell="A9" workbookViewId="0">
      <selection activeCell="F22" sqref="F22"/>
    </sheetView>
  </sheetViews>
  <sheetFormatPr defaultRowHeight="15"/>
  <cols>
    <col min="1" max="1" width="37" customWidth="1"/>
    <col min="2" max="2" width="21.85546875" customWidth="1"/>
    <col min="3" max="3" width="18.28515625" customWidth="1"/>
    <col min="4" max="5" width="17.85546875" customWidth="1"/>
    <col min="6" max="6" width="20" customWidth="1"/>
  </cols>
  <sheetData>
    <row r="1" spans="1:9" s="24" customFormat="1" ht="15.75" customHeight="1">
      <c r="C1" s="26"/>
      <c r="D1" s="26"/>
      <c r="E1" s="25"/>
    </row>
    <row r="2" spans="1:9" s="24" customFormat="1" ht="15.75" customHeight="1">
      <c r="A2" s="53" t="s">
        <v>39</v>
      </c>
      <c r="B2" s="53"/>
      <c r="C2" s="53"/>
      <c r="D2" s="53"/>
      <c r="E2" s="53"/>
      <c r="F2" s="27"/>
      <c r="G2" s="27"/>
      <c r="H2" s="27"/>
      <c r="I2" s="27"/>
    </row>
    <row r="3" spans="1:9" s="24" customFormat="1" ht="15.75" customHeight="1">
      <c r="A3" s="54" t="s">
        <v>40</v>
      </c>
      <c r="B3" s="54"/>
      <c r="C3" s="54"/>
      <c r="D3" s="54"/>
      <c r="E3" s="54"/>
      <c r="F3" s="28"/>
      <c r="G3" s="28"/>
      <c r="H3" s="28"/>
      <c r="I3" s="28"/>
    </row>
    <row r="4" spans="1:9" s="24" customFormat="1" ht="15.75">
      <c r="A4" s="55" t="s">
        <v>59</v>
      </c>
      <c r="B4" s="55"/>
      <c r="C4" s="55"/>
      <c r="D4" s="55"/>
      <c r="E4" s="55"/>
      <c r="F4" s="29"/>
      <c r="G4" s="29"/>
      <c r="H4" s="29"/>
      <c r="I4" s="29"/>
    </row>
    <row r="6" spans="1:9">
      <c r="A6" s="58" t="s">
        <v>46</v>
      </c>
      <c r="B6" s="57" t="s">
        <v>49</v>
      </c>
      <c r="C6" s="47" t="s">
        <v>3</v>
      </c>
      <c r="D6" s="47"/>
      <c r="E6" s="48"/>
    </row>
    <row r="7" spans="1:9">
      <c r="A7" s="59"/>
      <c r="B7" s="57"/>
      <c r="C7" s="32">
        <v>12</v>
      </c>
      <c r="D7" s="36" t="s">
        <v>53</v>
      </c>
      <c r="E7" s="22">
        <v>16</v>
      </c>
    </row>
    <row r="8" spans="1:9">
      <c r="A8" s="60"/>
      <c r="B8" s="17">
        <f>C8+D8+E8</f>
        <v>32931.699999999997</v>
      </c>
      <c r="C8" s="33">
        <f>14451.9+1452.7</f>
        <v>15904.6</v>
      </c>
      <c r="D8" s="5">
        <f>8003.7+808.4</f>
        <v>8812.1</v>
      </c>
      <c r="E8" s="5">
        <f>7112.5+1102.5</f>
        <v>8215</v>
      </c>
    </row>
    <row r="9" spans="1:9">
      <c r="A9" s="56" t="s">
        <v>0</v>
      </c>
      <c r="B9" s="47"/>
      <c r="C9" s="47"/>
      <c r="D9" s="47"/>
      <c r="E9" s="48"/>
    </row>
    <row r="10" spans="1:9">
      <c r="A10" s="10" t="s">
        <v>1</v>
      </c>
      <c r="B10" s="11">
        <f>C10+D10+E10</f>
        <v>11821131.949999999</v>
      </c>
      <c r="C10" s="11">
        <v>5745292.6900000004</v>
      </c>
      <c r="D10" s="11">
        <v>3288420.51</v>
      </c>
      <c r="E10" s="11">
        <v>2787418.75</v>
      </c>
    </row>
    <row r="11" spans="1:9">
      <c r="A11" s="2" t="s">
        <v>13</v>
      </c>
      <c r="B11" s="12">
        <f>C11+D11+E11</f>
        <v>11350798.469999999</v>
      </c>
      <c r="C11" s="3">
        <v>5458827.7199999997</v>
      </c>
      <c r="D11" s="3">
        <v>3175934.12</v>
      </c>
      <c r="E11" s="3">
        <v>2716036.63</v>
      </c>
    </row>
    <row r="12" spans="1:9">
      <c r="A12" s="2" t="s">
        <v>42</v>
      </c>
      <c r="B12" s="12">
        <f>C12+D12+E12</f>
        <v>470333.48</v>
      </c>
      <c r="C12" s="3">
        <v>286464.96999999997</v>
      </c>
      <c r="D12" s="3">
        <v>112486.39</v>
      </c>
      <c r="E12" s="3">
        <v>71382.12</v>
      </c>
    </row>
    <row r="13" spans="1:9">
      <c r="A13" s="10" t="s">
        <v>12</v>
      </c>
      <c r="B13" s="11">
        <f t="shared" ref="B13:B18" si="0">C13+D13+E13</f>
        <v>11237733.220000001</v>
      </c>
      <c r="C13" s="11">
        <v>5079049.6100000003</v>
      </c>
      <c r="D13" s="11">
        <v>3208419.83</v>
      </c>
      <c r="E13" s="11">
        <v>2950263.78</v>
      </c>
    </row>
    <row r="14" spans="1:9">
      <c r="A14" s="2" t="s">
        <v>13</v>
      </c>
      <c r="B14" s="12">
        <f t="shared" si="0"/>
        <v>10852734.52</v>
      </c>
      <c r="C14" s="3">
        <v>5079049.6100000003</v>
      </c>
      <c r="D14" s="3">
        <v>2959257.84</v>
      </c>
      <c r="E14" s="3">
        <v>2814427.07</v>
      </c>
    </row>
    <row r="15" spans="1:9">
      <c r="A15" s="2" t="s">
        <v>42</v>
      </c>
      <c r="B15" s="12">
        <f t="shared" si="0"/>
        <v>384998.69999999995</v>
      </c>
      <c r="C15" s="3">
        <v>0</v>
      </c>
      <c r="D15" s="3">
        <v>249161.99</v>
      </c>
      <c r="E15" s="3">
        <v>135836.71</v>
      </c>
    </row>
    <row r="16" spans="1:9">
      <c r="A16" s="56" t="s">
        <v>2</v>
      </c>
      <c r="B16" s="47"/>
      <c r="C16" s="47"/>
      <c r="D16" s="47"/>
      <c r="E16" s="48"/>
      <c r="F16" s="13"/>
    </row>
    <row r="17" spans="1:7">
      <c r="A17" s="2" t="s">
        <v>1</v>
      </c>
      <c r="B17" s="12">
        <f t="shared" si="0"/>
        <v>110742.06</v>
      </c>
      <c r="C17" s="12">
        <v>24773.439999999999</v>
      </c>
      <c r="D17" s="12">
        <v>16759</v>
      </c>
      <c r="E17" s="12">
        <v>69209.62</v>
      </c>
    </row>
    <row r="18" spans="1:7">
      <c r="A18" s="2" t="s">
        <v>12</v>
      </c>
      <c r="B18" s="12">
        <f t="shared" si="0"/>
        <v>111154.23999999999</v>
      </c>
      <c r="C18" s="12">
        <v>27758.92</v>
      </c>
      <c r="D18" s="12">
        <v>17526.12</v>
      </c>
      <c r="E18" s="12">
        <v>65869.2</v>
      </c>
    </row>
    <row r="19" spans="1:7">
      <c r="A19" s="56" t="s">
        <v>51</v>
      </c>
      <c r="B19" s="47"/>
      <c r="C19" s="47"/>
      <c r="D19" s="47"/>
      <c r="E19" s="48"/>
    </row>
    <row r="20" spans="1:7">
      <c r="A20" s="2" t="s">
        <v>1</v>
      </c>
      <c r="B20" s="12">
        <v>110787</v>
      </c>
      <c r="C20" s="12">
        <f>B20*C27</f>
        <v>53505.37385558596</v>
      </c>
      <c r="D20" s="12">
        <f>B20*D27</f>
        <v>29645.178435975071</v>
      </c>
      <c r="E20" s="12">
        <f>B20*E27</f>
        <v>27636.447708438984</v>
      </c>
    </row>
    <row r="21" spans="1:7">
      <c r="A21" s="2" t="s">
        <v>12</v>
      </c>
      <c r="B21" s="12">
        <v>95429.75</v>
      </c>
      <c r="C21" s="12">
        <f>B21*C27</f>
        <v>46088.480152861841</v>
      </c>
      <c r="D21" s="12">
        <f>B21*D27</f>
        <v>25535.775558959915</v>
      </c>
      <c r="E21" s="12">
        <f>B21*E27</f>
        <v>23805.494288178263</v>
      </c>
    </row>
    <row r="22" spans="1:7" ht="45">
      <c r="A22" s="30" t="s">
        <v>43</v>
      </c>
      <c r="B22" s="31">
        <f>B13+B18+B21</f>
        <v>11444317.210000001</v>
      </c>
      <c r="C22" s="31">
        <f t="shared" ref="C22:E22" si="1">C13+C18+C21</f>
        <v>5152897.0101528624</v>
      </c>
      <c r="D22" s="31">
        <f t="shared" si="1"/>
        <v>3251481.7255589599</v>
      </c>
      <c r="E22" s="31">
        <f>E13+E18+E21</f>
        <v>3039938.4742881781</v>
      </c>
      <c r="F22" s="4"/>
    </row>
    <row r="24" spans="1:7">
      <c r="A24" s="49" t="s">
        <v>4</v>
      </c>
      <c r="B24" s="51" t="s">
        <v>5</v>
      </c>
      <c r="C24" s="50" t="s">
        <v>3</v>
      </c>
      <c r="D24" s="50"/>
      <c r="E24" s="50"/>
    </row>
    <row r="25" spans="1:7">
      <c r="A25" s="49"/>
      <c r="B25" s="52"/>
      <c r="C25" s="20">
        <v>12</v>
      </c>
      <c r="D25" s="36" t="s">
        <v>53</v>
      </c>
      <c r="E25" s="20">
        <v>16</v>
      </c>
    </row>
    <row r="26" spans="1:7" ht="15.75" customHeight="1">
      <c r="A26" s="21" t="s">
        <v>41</v>
      </c>
      <c r="B26" s="16">
        <f>C26+D26+E26</f>
        <v>32931.699999999997</v>
      </c>
      <c r="C26" s="5">
        <f>14451.9+1452.7</f>
        <v>15904.6</v>
      </c>
      <c r="D26" s="5">
        <f>8003.7+808.4</f>
        <v>8812.1</v>
      </c>
      <c r="E26" s="5">
        <f>7112.5+1102.5</f>
        <v>8215</v>
      </c>
    </row>
    <row r="27" spans="1:7" ht="30" customHeight="1">
      <c r="A27" s="19" t="s">
        <v>47</v>
      </c>
      <c r="B27" s="34">
        <f>C27+D27+E27</f>
        <v>1.0000000000000002</v>
      </c>
      <c r="C27" s="34">
        <f>C26/32931.7</f>
        <v>0.4829571507088915</v>
      </c>
      <c r="D27" s="34">
        <f t="shared" ref="D27:E27" si="2">D26/32931.7</f>
        <v>0.26758715766267765</v>
      </c>
      <c r="E27" s="34">
        <f t="shared" si="2"/>
        <v>0.24945569162843098</v>
      </c>
    </row>
    <row r="28" spans="1:7" ht="30" customHeight="1">
      <c r="A28" s="9" t="s">
        <v>44</v>
      </c>
      <c r="B28" s="3">
        <v>5429340</v>
      </c>
      <c r="C28" s="7">
        <f>B28*C27</f>
        <v>2622138.5766298128</v>
      </c>
      <c r="D28" s="7">
        <f>B28*D27</f>
        <v>1452821.6585842823</v>
      </c>
      <c r="E28" s="7">
        <f>B28*E27</f>
        <v>1354379.7647859054</v>
      </c>
      <c r="G28" s="1"/>
    </row>
    <row r="29" spans="1:7" ht="30" customHeight="1">
      <c r="A29" s="9" t="s">
        <v>45</v>
      </c>
      <c r="B29" s="3">
        <v>2968560</v>
      </c>
      <c r="C29" s="7">
        <f>B29*C27</f>
        <v>1433687.2793083868</v>
      </c>
      <c r="D29" s="6">
        <f>B29*D27</f>
        <v>794348.53275111842</v>
      </c>
      <c r="E29" s="6">
        <f>B29*E27</f>
        <v>740524.18794049509</v>
      </c>
      <c r="G29" s="1"/>
    </row>
    <row r="30" spans="1:7" ht="15" customHeight="1">
      <c r="A30" s="2" t="s">
        <v>60</v>
      </c>
      <c r="B30" s="3">
        <f>10107.05+15258.22</f>
        <v>25365.269999999997</v>
      </c>
      <c r="C30" s="6">
        <f>B30*C27</f>
        <v>12250.338526161722</v>
      </c>
      <c r="D30" s="6">
        <f>B30*D27</f>
        <v>6787.4205026463869</v>
      </c>
      <c r="E30" s="6">
        <f>B30*E27</f>
        <v>6327.5109711918903</v>
      </c>
      <c r="F30" s="4"/>
    </row>
    <row r="31" spans="1:7" ht="15" customHeight="1">
      <c r="A31" s="2" t="s">
        <v>73</v>
      </c>
      <c r="B31" s="3">
        <v>278035.05</v>
      </c>
      <c r="C31" s="6">
        <f>B31*C27</f>
        <v>134279.01554520417</v>
      </c>
      <c r="D31" s="6">
        <f>B31*D27</f>
        <v>74398.608760100455</v>
      </c>
      <c r="E31" s="6">
        <f>B31*E27</f>
        <v>69357.425694695383</v>
      </c>
      <c r="F31" s="4"/>
    </row>
    <row r="32" spans="1:7" ht="28.5" customHeight="1">
      <c r="A32" s="9" t="s">
        <v>61</v>
      </c>
      <c r="B32" s="3">
        <v>110368.53</v>
      </c>
      <c r="C32" s="6">
        <f>B32*C27</f>
        <v>53303.270776728816</v>
      </c>
      <c r="D32" s="6">
        <f>B32*D27</f>
        <v>29533.201238107969</v>
      </c>
      <c r="E32" s="6">
        <f>B32*E27</f>
        <v>27532.057985163232</v>
      </c>
      <c r="F32" s="4"/>
    </row>
    <row r="33" spans="1:6" ht="16.5" customHeight="1">
      <c r="A33" s="9" t="s">
        <v>75</v>
      </c>
      <c r="B33" s="66">
        <f>B34+B35+B36+B37+B38+B39+B40+B41+B42</f>
        <v>2182927.06</v>
      </c>
      <c r="C33" s="67">
        <f>C34+C35+C36+C37+C38+C39+C40+C41+C42</f>
        <v>1082397.2602631508</v>
      </c>
      <c r="D33" s="67">
        <f>D34+D35+D36+D37+D38+D39+D40+D41+D42</f>
        <v>574681.55378902401</v>
      </c>
      <c r="E33" s="67">
        <f>E34+E35+E36+E37+E38+E39+E40+E41+E42</f>
        <v>525848.24594782537</v>
      </c>
    </row>
    <row r="34" spans="1:6" ht="15" hidden="1" customHeight="1">
      <c r="A34" s="46" t="s">
        <v>74</v>
      </c>
      <c r="B34" s="44">
        <v>1991401.34</v>
      </c>
      <c r="C34" s="45">
        <v>961761.52</v>
      </c>
      <c r="D34" s="45">
        <v>532873.42000000004</v>
      </c>
      <c r="E34" s="45">
        <v>496766.4</v>
      </c>
    </row>
    <row r="35" spans="1:6" ht="15" hidden="1" customHeight="1">
      <c r="A35" s="46" t="s">
        <v>63</v>
      </c>
      <c r="B35" s="44">
        <f>36400+3420</f>
        <v>39820</v>
      </c>
      <c r="C35" s="45">
        <f>B35*C27</f>
        <v>19231.35374122806</v>
      </c>
      <c r="D35" s="45">
        <f>B35*D27</f>
        <v>10655.320618127824</v>
      </c>
      <c r="E35" s="45">
        <f>B35*E27</f>
        <v>9933.3256406441214</v>
      </c>
    </row>
    <row r="36" spans="1:6" ht="15" hidden="1" customHeight="1">
      <c r="A36" s="46" t="s">
        <v>64</v>
      </c>
      <c r="B36" s="44">
        <f>C36+D36+E36</f>
        <v>4836</v>
      </c>
      <c r="C36" s="45"/>
      <c r="D36" s="45"/>
      <c r="E36" s="45">
        <v>4836</v>
      </c>
    </row>
    <row r="37" spans="1:6" ht="15" hidden="1" customHeight="1">
      <c r="A37" s="46" t="s">
        <v>65</v>
      </c>
      <c r="B37" s="44">
        <f t="shared" ref="B37:B39" si="3">C37+D37+E37</f>
        <v>47794.720000000001</v>
      </c>
      <c r="C37" s="45">
        <v>47794.720000000001</v>
      </c>
      <c r="D37" s="45"/>
      <c r="E37" s="45"/>
    </row>
    <row r="38" spans="1:6" ht="15" hidden="1" customHeight="1">
      <c r="A38" s="46" t="s">
        <v>67</v>
      </c>
      <c r="B38" s="44">
        <f t="shared" si="3"/>
        <v>25900</v>
      </c>
      <c r="C38" s="45">
        <v>25900</v>
      </c>
      <c r="D38" s="45"/>
      <c r="E38" s="45"/>
    </row>
    <row r="39" spans="1:6" ht="15" hidden="1" customHeight="1">
      <c r="A39" s="46" t="s">
        <v>68</v>
      </c>
      <c r="B39" s="44">
        <f t="shared" si="3"/>
        <v>15800</v>
      </c>
      <c r="C39" s="45"/>
      <c r="D39" s="45">
        <v>15800</v>
      </c>
      <c r="E39" s="45"/>
    </row>
    <row r="40" spans="1:6" ht="15" hidden="1" customHeight="1">
      <c r="A40" s="46" t="s">
        <v>71</v>
      </c>
      <c r="B40" s="44">
        <f>1532+4258+2870+4197+4967+3834+1589+5018+3160</f>
        <v>31425</v>
      </c>
      <c r="C40" s="45">
        <f>B40*C27</f>
        <v>15176.928461026915</v>
      </c>
      <c r="D40" s="45">
        <f>B40*D27</f>
        <v>8408.926429549645</v>
      </c>
      <c r="E40" s="45">
        <f>B40*E27</f>
        <v>7839.1451094234435</v>
      </c>
    </row>
    <row r="41" spans="1:6" ht="15" hidden="1" customHeight="1">
      <c r="A41" s="46" t="s">
        <v>10</v>
      </c>
      <c r="B41" s="44">
        <v>10650</v>
      </c>
      <c r="C41" s="45">
        <f>B41*C27</f>
        <v>5143.4936550496941</v>
      </c>
      <c r="D41" s="45">
        <f>B41*D27</f>
        <v>2849.8032291075169</v>
      </c>
      <c r="E41" s="45">
        <f>B41*E27</f>
        <v>2656.7031158427899</v>
      </c>
    </row>
    <row r="42" spans="1:6" ht="15" hidden="1" customHeight="1">
      <c r="A42" s="46" t="s">
        <v>72</v>
      </c>
      <c r="B42" s="44">
        <v>15300</v>
      </c>
      <c r="C42" s="45">
        <f>B42*C27</f>
        <v>7389.2444058460396</v>
      </c>
      <c r="D42" s="45">
        <f>B42*D27</f>
        <v>4094.0835122389681</v>
      </c>
      <c r="E42" s="45">
        <f>B42*E27</f>
        <v>3816.6720819149941</v>
      </c>
    </row>
    <row r="43" spans="1:6" ht="15" customHeight="1">
      <c r="A43" s="2" t="s">
        <v>48</v>
      </c>
      <c r="B43" s="3">
        <f>18650*12</f>
        <v>223800</v>
      </c>
      <c r="C43" s="7">
        <f>B43*C27</f>
        <v>108085.81032864992</v>
      </c>
      <c r="D43" s="7">
        <f>B43*D27</f>
        <v>59886.005884907259</v>
      </c>
      <c r="E43" s="7">
        <f>B43*E27</f>
        <v>55828.183786442853</v>
      </c>
    </row>
    <row r="44" spans="1:6" ht="15" customHeight="1">
      <c r="A44" s="2" t="s">
        <v>38</v>
      </c>
      <c r="B44" s="3">
        <f>C44+D44+E44</f>
        <v>572000</v>
      </c>
      <c r="C44" s="7">
        <f>82000+85000</f>
        <v>167000</v>
      </c>
      <c r="D44" s="7">
        <f>2*99000</f>
        <v>198000</v>
      </c>
      <c r="E44" s="7">
        <f>115000+92000</f>
        <v>207000</v>
      </c>
    </row>
    <row r="45" spans="1:6" ht="15" customHeight="1">
      <c r="A45" s="2" t="s">
        <v>6</v>
      </c>
      <c r="B45" s="3">
        <v>9600</v>
      </c>
      <c r="C45" s="7">
        <f>B45*C27</f>
        <v>4636.3886468053588</v>
      </c>
      <c r="D45" s="7">
        <f>B45*D27</f>
        <v>2568.8367135617054</v>
      </c>
      <c r="E45" s="7">
        <f>B45*E27</f>
        <v>2394.7746396329376</v>
      </c>
      <c r="F45" s="14"/>
    </row>
    <row r="46" spans="1:6" ht="15" customHeight="1">
      <c r="A46" s="2" t="s">
        <v>66</v>
      </c>
      <c r="B46" s="3">
        <f>C46+D46+E46</f>
        <v>34800</v>
      </c>
      <c r="C46" s="7">
        <f>19800+5000</f>
        <v>24800</v>
      </c>
      <c r="D46" s="7">
        <v>5000</v>
      </c>
      <c r="E46" s="7">
        <v>5000</v>
      </c>
      <c r="F46" s="14"/>
    </row>
    <row r="47" spans="1:6" ht="15" customHeight="1">
      <c r="A47" s="8" t="s">
        <v>69</v>
      </c>
      <c r="B47" s="3">
        <f>10940.2*6</f>
        <v>65641.200000000012</v>
      </c>
      <c r="C47" s="7">
        <f>B47*C27</f>
        <v>31701.886921112495</v>
      </c>
      <c r="D47" s="7">
        <f>B47*D27</f>
        <v>17564.742133567361</v>
      </c>
      <c r="E47" s="7">
        <f>B47*E27</f>
        <v>16374.570945320167</v>
      </c>
      <c r="F47" s="14"/>
    </row>
    <row r="48" spans="1:6" ht="15" customHeight="1">
      <c r="A48" s="2" t="s">
        <v>70</v>
      </c>
      <c r="B48" s="3">
        <f>89150</f>
        <v>89150</v>
      </c>
      <c r="C48" s="7">
        <f>B48*C27</f>
        <v>43055.629985697677</v>
      </c>
      <c r="D48" s="7">
        <f>B48*D27</f>
        <v>23855.395105627715</v>
      </c>
      <c r="E48" s="7">
        <f>B48*E27</f>
        <v>22238.974908674623</v>
      </c>
      <c r="F48" s="14"/>
    </row>
    <row r="49" spans="1:5" ht="15" customHeight="1">
      <c r="A49" s="2" t="s">
        <v>7</v>
      </c>
      <c r="B49" s="3">
        <f>3200+6950+3150+54879.44</f>
        <v>68179.44</v>
      </c>
      <c r="C49" s="7">
        <f>B49*C27</f>
        <v>32927.74807932783</v>
      </c>
      <c r="D49" s="7">
        <f>B49*D27</f>
        <v>18243.942560633073</v>
      </c>
      <c r="E49" s="7">
        <f>B49*E27</f>
        <v>17007.749360039114</v>
      </c>
    </row>
    <row r="50" spans="1:5" ht="15" customHeight="1">
      <c r="A50" s="2" t="s">
        <v>8</v>
      </c>
      <c r="B50" s="3">
        <v>9000</v>
      </c>
      <c r="C50" s="7">
        <f>B50*C27</f>
        <v>4346.6143563800233</v>
      </c>
      <c r="D50" s="7">
        <f>B50*D27</f>
        <v>2408.2844189640987</v>
      </c>
      <c r="E50" s="7">
        <f>B50*E27</f>
        <v>2245.1012246558789</v>
      </c>
    </row>
    <row r="51" spans="1:5" ht="15" customHeight="1">
      <c r="A51" s="2" t="s">
        <v>9</v>
      </c>
      <c r="B51" s="3">
        <f>9600+9900+9360+3000</f>
        <v>31860</v>
      </c>
      <c r="C51" s="7">
        <f>B51*C27</f>
        <v>15387.014821585284</v>
      </c>
      <c r="D51" s="7">
        <f>B51*D27</f>
        <v>8525.3268431329107</v>
      </c>
      <c r="E51" s="7">
        <f>B51*E27</f>
        <v>7947.6583352818107</v>
      </c>
    </row>
    <row r="52" spans="1:5" ht="15" customHeight="1">
      <c r="A52" s="2" t="s">
        <v>62</v>
      </c>
      <c r="B52" s="3">
        <f>1000+1500+1980+660+3060+660+7200+192+1800+6810+2880+29664+480</f>
        <v>57886</v>
      </c>
      <c r="C52" s="7">
        <f>B52*C27</f>
        <v>27956.457625934894</v>
      </c>
      <c r="D52" s="7">
        <f>B52*D27</f>
        <v>15489.550208461758</v>
      </c>
      <c r="E52" s="7">
        <f>B52*E27</f>
        <v>14439.992165603357</v>
      </c>
    </row>
    <row r="53" spans="1:5" ht="15" customHeight="1">
      <c r="A53" s="2" t="s">
        <v>11</v>
      </c>
      <c r="B53" s="3">
        <v>15000</v>
      </c>
      <c r="C53" s="7">
        <f>B53*C27</f>
        <v>7244.3572606333728</v>
      </c>
      <c r="D53" s="7">
        <f>B53*D27</f>
        <v>4013.8073649401649</v>
      </c>
      <c r="E53" s="7">
        <f>B53*E27</f>
        <v>3741.8353744264646</v>
      </c>
    </row>
    <row r="54" spans="1:5" ht="15" customHeight="1">
      <c r="A54" s="2" t="s">
        <v>76</v>
      </c>
      <c r="B54" s="3">
        <f>C54</f>
        <v>243858.13</v>
      </c>
      <c r="C54" s="7">
        <f>14109.43+55748.7+83000+91000</f>
        <v>243858.13</v>
      </c>
      <c r="D54" s="7"/>
      <c r="E54" s="7"/>
    </row>
    <row r="55" spans="1:5">
      <c r="A55" s="10" t="s">
        <v>50</v>
      </c>
      <c r="B55" s="11">
        <f>B28+B29+B30+B31+B32+B33+B43+B44+B45+B46+B47+B48+B49+B50+B51+B52+B53+B54</f>
        <v>12415370.68</v>
      </c>
      <c r="C55" s="11">
        <f>C28+C29+C30+C31+C32+C33+C43+C44+C45+C46+C47+C48+C49+C50+C51+C52+C53+C54</f>
        <v>6049055.7790755723</v>
      </c>
      <c r="D55" s="11">
        <f t="shared" ref="C55:E55" si="4">D28+D29+D30+D31+D32+D33+D43+D44+D45+D46+D47+D48+D49+D50+D51+D52+D53+D54</f>
        <v>3288126.8668590761</v>
      </c>
      <c r="E55" s="11">
        <f t="shared" si="4"/>
        <v>3078188.0340653532</v>
      </c>
    </row>
    <row r="56" spans="1:5">
      <c r="C56" s="23"/>
      <c r="D56" s="23"/>
      <c r="E56" s="23"/>
    </row>
    <row r="58" spans="1:5">
      <c r="B58" s="4">
        <f>B22-B55</f>
        <v>-971053.46999999881</v>
      </c>
      <c r="C58" s="4">
        <f>C22-C55</f>
        <v>-896158.76892270986</v>
      </c>
      <c r="D58" s="4">
        <f>D22-D55</f>
        <v>-36645.1413001162</v>
      </c>
      <c r="E58" s="4">
        <f>E22-E55</f>
        <v>-38249.559777175076</v>
      </c>
    </row>
    <row r="59" spans="1:5">
      <c r="B59" s="4"/>
    </row>
  </sheetData>
  <mergeCells count="12">
    <mergeCell ref="C6:E6"/>
    <mergeCell ref="A24:A25"/>
    <mergeCell ref="C24:E24"/>
    <mergeCell ref="B24:B25"/>
    <mergeCell ref="A2:E2"/>
    <mergeCell ref="A3:E3"/>
    <mergeCell ref="A4:E4"/>
    <mergeCell ref="A9:E9"/>
    <mergeCell ref="A16:E16"/>
    <mergeCell ref="B6:B7"/>
    <mergeCell ref="A6:A8"/>
    <mergeCell ref="A19:E19"/>
  </mergeCells>
  <pageMargins left="1.32" right="0.70866141732283472" top="0.35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5"/>
  <sheetViews>
    <sheetView topLeftCell="A4" workbookViewId="0">
      <selection activeCell="E18" sqref="E18:E22"/>
    </sheetView>
  </sheetViews>
  <sheetFormatPr defaultRowHeight="15"/>
  <cols>
    <col min="1" max="1" width="35.7109375" customWidth="1"/>
    <col min="2" max="4" width="17.85546875" customWidth="1"/>
    <col min="5" max="5" width="17.7109375" customWidth="1"/>
    <col min="6" max="6" width="18.85546875" customWidth="1"/>
  </cols>
  <sheetData>
    <row r="1" spans="1:6" ht="33.75">
      <c r="A1" s="61" t="s">
        <v>37</v>
      </c>
      <c r="B1" s="61"/>
      <c r="C1" s="61"/>
      <c r="D1" s="61"/>
      <c r="E1" s="61"/>
      <c r="F1" s="61"/>
    </row>
    <row r="3" spans="1:6">
      <c r="A3" s="50" t="s">
        <v>14</v>
      </c>
      <c r="B3" s="50"/>
      <c r="C3" s="50"/>
      <c r="D3" s="50"/>
      <c r="E3" s="50"/>
      <c r="F3" s="50"/>
    </row>
    <row r="4" spans="1:6" ht="30">
      <c r="A4" s="15" t="s">
        <v>15</v>
      </c>
      <c r="B4" s="19" t="s">
        <v>28</v>
      </c>
      <c r="C4" s="15" t="s">
        <v>29</v>
      </c>
      <c r="D4" s="15" t="s">
        <v>30</v>
      </c>
      <c r="E4" s="15" t="s">
        <v>16</v>
      </c>
      <c r="F4" s="15" t="s">
        <v>17</v>
      </c>
    </row>
    <row r="5" spans="1:6" ht="15" customHeight="1">
      <c r="A5" s="2" t="s">
        <v>18</v>
      </c>
      <c r="B5" s="2">
        <v>1</v>
      </c>
      <c r="C5" s="3">
        <v>60000</v>
      </c>
      <c r="D5" s="3">
        <f>C5*B5</f>
        <v>60000</v>
      </c>
      <c r="E5" s="3">
        <f>D5*30.2%</f>
        <v>18120</v>
      </c>
      <c r="F5" s="3">
        <f>(D5+E5)*12</f>
        <v>937440</v>
      </c>
    </row>
    <row r="6" spans="1:6" ht="15" customHeight="1">
      <c r="A6" s="2" t="s">
        <v>19</v>
      </c>
      <c r="B6" s="2">
        <v>1</v>
      </c>
      <c r="C6" s="3">
        <v>50000</v>
      </c>
      <c r="D6" s="3">
        <f t="shared" ref="D6:D13" si="0">C6*B6</f>
        <v>50000</v>
      </c>
      <c r="E6" s="3">
        <f t="shared" ref="E6:E13" si="1">D6*30.2%</f>
        <v>15100</v>
      </c>
      <c r="F6" s="3">
        <f t="shared" ref="F6:F13" si="2">(D6+E6)*12</f>
        <v>781200</v>
      </c>
    </row>
    <row r="7" spans="1:6" ht="15" customHeight="1">
      <c r="A7" s="2" t="s">
        <v>24</v>
      </c>
      <c r="B7" s="2">
        <v>1</v>
      </c>
      <c r="C7" s="3">
        <v>50000</v>
      </c>
      <c r="D7" s="3">
        <f t="shared" si="0"/>
        <v>50000</v>
      </c>
      <c r="E7" s="3">
        <f t="shared" si="1"/>
        <v>15100</v>
      </c>
      <c r="F7" s="3">
        <f t="shared" si="2"/>
        <v>781200</v>
      </c>
    </row>
    <row r="8" spans="1:6" ht="15" customHeight="1">
      <c r="A8" s="2" t="s">
        <v>22</v>
      </c>
      <c r="B8" s="2">
        <v>1</v>
      </c>
      <c r="C8" s="3">
        <v>30000</v>
      </c>
      <c r="D8" s="3">
        <f t="shared" si="0"/>
        <v>30000</v>
      </c>
      <c r="E8" s="3">
        <f t="shared" si="1"/>
        <v>9060</v>
      </c>
      <c r="F8" s="3">
        <f t="shared" si="2"/>
        <v>468720</v>
      </c>
    </row>
    <row r="9" spans="1:6" ht="15" customHeight="1">
      <c r="A9" s="2" t="s">
        <v>20</v>
      </c>
      <c r="B9" s="2">
        <v>2</v>
      </c>
      <c r="C9" s="3">
        <v>30000</v>
      </c>
      <c r="D9" s="3">
        <f t="shared" si="0"/>
        <v>60000</v>
      </c>
      <c r="E9" s="3">
        <f t="shared" si="1"/>
        <v>18120</v>
      </c>
      <c r="F9" s="3">
        <f t="shared" si="2"/>
        <v>937440</v>
      </c>
    </row>
    <row r="10" spans="1:6" ht="15" customHeight="1">
      <c r="A10" s="2" t="s">
        <v>21</v>
      </c>
      <c r="B10" s="2">
        <v>1</v>
      </c>
      <c r="C10" s="3">
        <v>30000</v>
      </c>
      <c r="D10" s="3">
        <f t="shared" si="0"/>
        <v>30000</v>
      </c>
      <c r="E10" s="3">
        <f t="shared" si="1"/>
        <v>9060</v>
      </c>
      <c r="F10" s="3">
        <f t="shared" si="2"/>
        <v>468720</v>
      </c>
    </row>
    <row r="11" spans="1:6" ht="15" customHeight="1">
      <c r="A11" s="9" t="s">
        <v>23</v>
      </c>
      <c r="B11" s="9">
        <v>0.5</v>
      </c>
      <c r="C11" s="3">
        <v>15000</v>
      </c>
      <c r="D11" s="3">
        <f t="shared" si="0"/>
        <v>7500</v>
      </c>
      <c r="E11" s="3">
        <f t="shared" si="1"/>
        <v>2265</v>
      </c>
      <c r="F11" s="3">
        <f t="shared" si="2"/>
        <v>117180</v>
      </c>
    </row>
    <row r="12" spans="1:6" ht="15" customHeight="1">
      <c r="A12" s="9" t="s">
        <v>25</v>
      </c>
      <c r="B12" s="9">
        <v>1</v>
      </c>
      <c r="C12" s="3">
        <v>30000</v>
      </c>
      <c r="D12" s="3">
        <f t="shared" si="0"/>
        <v>30000</v>
      </c>
      <c r="E12" s="3">
        <f t="shared" si="1"/>
        <v>9060</v>
      </c>
      <c r="F12" s="3">
        <f t="shared" si="2"/>
        <v>468720</v>
      </c>
    </row>
    <row r="13" spans="1:6" ht="15" customHeight="1">
      <c r="A13" s="9" t="s">
        <v>26</v>
      </c>
      <c r="B13" s="9">
        <v>1</v>
      </c>
      <c r="C13" s="3">
        <v>30000</v>
      </c>
      <c r="D13" s="3">
        <f t="shared" si="0"/>
        <v>30000</v>
      </c>
      <c r="E13" s="3">
        <f t="shared" si="1"/>
        <v>9060</v>
      </c>
      <c r="F13" s="3">
        <f t="shared" si="2"/>
        <v>468720</v>
      </c>
    </row>
    <row r="14" spans="1:6">
      <c r="A14" s="18" t="s">
        <v>27</v>
      </c>
      <c r="B14" s="18">
        <f>SUM(B5:B13)</f>
        <v>9.5</v>
      </c>
      <c r="C14" s="11">
        <f>SUM(C5:C13)</f>
        <v>325000</v>
      </c>
      <c r="D14" s="11">
        <f>SUM(D5:D13)</f>
        <v>347500</v>
      </c>
      <c r="E14" s="11">
        <f>SUM(E5:E13)</f>
        <v>104945</v>
      </c>
      <c r="F14" s="11">
        <f>SUM(F5:F13)</f>
        <v>5429340</v>
      </c>
    </row>
    <row r="15" spans="1:6">
      <c r="C15" s="4"/>
      <c r="D15" s="4"/>
      <c r="E15" s="4"/>
      <c r="F15" s="4"/>
    </row>
    <row r="16" spans="1:6">
      <c r="A16" s="50" t="s">
        <v>31</v>
      </c>
      <c r="B16" s="50"/>
      <c r="C16" s="50"/>
      <c r="D16" s="50"/>
      <c r="E16" s="50"/>
      <c r="F16" s="50"/>
    </row>
    <row r="17" spans="1:6" ht="30">
      <c r="A17" s="15" t="s">
        <v>15</v>
      </c>
      <c r="B17" s="19" t="s">
        <v>28</v>
      </c>
      <c r="C17" s="15" t="s">
        <v>29</v>
      </c>
      <c r="D17" s="15" t="s">
        <v>30</v>
      </c>
      <c r="E17" s="15" t="s">
        <v>16</v>
      </c>
      <c r="F17" s="15" t="s">
        <v>17</v>
      </c>
    </row>
    <row r="18" spans="1:6">
      <c r="A18" s="2" t="s">
        <v>32</v>
      </c>
      <c r="B18" s="2">
        <v>1</v>
      </c>
      <c r="C18" s="3">
        <v>20000</v>
      </c>
      <c r="D18" s="3">
        <f>B18*C18</f>
        <v>20000</v>
      </c>
      <c r="E18" s="3">
        <f>D18*30.2%</f>
        <v>6040</v>
      </c>
      <c r="F18" s="3">
        <f>(D18+E18)*12</f>
        <v>312480</v>
      </c>
    </row>
    <row r="19" spans="1:6">
      <c r="A19" s="2" t="s">
        <v>33</v>
      </c>
      <c r="B19" s="2">
        <v>1</v>
      </c>
      <c r="C19" s="3">
        <v>30000</v>
      </c>
      <c r="D19" s="3">
        <f t="shared" ref="D19:D22" si="3">B19*C19</f>
        <v>30000</v>
      </c>
      <c r="E19" s="3">
        <f t="shared" ref="E19:E22" si="4">D19*30.2%</f>
        <v>9060</v>
      </c>
      <c r="F19" s="3">
        <f t="shared" ref="F19:F22" si="5">(D19+E19)*12</f>
        <v>468720</v>
      </c>
    </row>
    <row r="20" spans="1:6">
      <c r="A20" s="2" t="s">
        <v>34</v>
      </c>
      <c r="B20" s="2">
        <v>1</v>
      </c>
      <c r="C20" s="3">
        <v>20000</v>
      </c>
      <c r="D20" s="3">
        <f t="shared" si="3"/>
        <v>20000</v>
      </c>
      <c r="E20" s="3">
        <f t="shared" si="4"/>
        <v>6040</v>
      </c>
      <c r="F20" s="3">
        <f t="shared" si="5"/>
        <v>312480</v>
      </c>
    </row>
    <row r="21" spans="1:6">
      <c r="A21" s="2" t="s">
        <v>35</v>
      </c>
      <c r="B21" s="2">
        <v>3</v>
      </c>
      <c r="C21" s="3">
        <v>20000</v>
      </c>
      <c r="D21" s="3">
        <f t="shared" si="3"/>
        <v>60000</v>
      </c>
      <c r="E21" s="3">
        <f t="shared" si="4"/>
        <v>18120</v>
      </c>
      <c r="F21" s="3">
        <f t="shared" si="5"/>
        <v>937440</v>
      </c>
    </row>
    <row r="22" spans="1:6">
      <c r="A22" s="2" t="s">
        <v>36</v>
      </c>
      <c r="B22" s="2">
        <v>3</v>
      </c>
      <c r="C22" s="3">
        <v>20000</v>
      </c>
      <c r="D22" s="3">
        <f t="shared" si="3"/>
        <v>60000</v>
      </c>
      <c r="E22" s="3">
        <f t="shared" si="4"/>
        <v>18120</v>
      </c>
      <c r="F22" s="3">
        <f t="shared" si="5"/>
        <v>937440</v>
      </c>
    </row>
    <row r="23" spans="1:6">
      <c r="A23" s="18" t="s">
        <v>27</v>
      </c>
      <c r="B23" s="18">
        <f>SUM(B18:B22)</f>
        <v>9</v>
      </c>
      <c r="C23" s="11">
        <f>SUM(C18:C22)</f>
        <v>110000</v>
      </c>
      <c r="D23" s="11">
        <f>SUM(D18:D22)</f>
        <v>190000</v>
      </c>
      <c r="E23" s="11">
        <f>SUM(E18:E22)</f>
        <v>57380</v>
      </c>
      <c r="F23" s="11">
        <f>SUM(F18:F22)</f>
        <v>2968560</v>
      </c>
    </row>
    <row r="25" spans="1:6">
      <c r="F25" s="4"/>
    </row>
  </sheetData>
  <mergeCells count="3">
    <mergeCell ref="A3:F3"/>
    <mergeCell ref="A16:F16"/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"/>
  <sheetViews>
    <sheetView workbookViewId="0">
      <selection activeCell="B8" sqref="B8"/>
    </sheetView>
  </sheetViews>
  <sheetFormatPr defaultRowHeight="15"/>
  <cols>
    <col min="1" max="1" width="47.28515625" customWidth="1"/>
    <col min="2" max="2" width="23.5703125" customWidth="1"/>
    <col min="3" max="3" width="21.7109375" customWidth="1"/>
    <col min="4" max="4" width="22.5703125" customWidth="1"/>
  </cols>
  <sheetData>
    <row r="1" spans="1:8" ht="26.25">
      <c r="A1" s="65" t="s">
        <v>54</v>
      </c>
      <c r="B1" s="65"/>
      <c r="C1" s="65"/>
      <c r="D1" s="65"/>
      <c r="E1" s="37"/>
      <c r="F1" s="35"/>
      <c r="G1" s="35"/>
      <c r="H1" s="35"/>
    </row>
    <row r="2" spans="1:8" ht="26.25">
      <c r="A2" s="38"/>
      <c r="B2" s="38"/>
      <c r="C2" s="38"/>
      <c r="D2" s="38"/>
      <c r="E2" s="38"/>
    </row>
    <row r="3" spans="1:8" ht="26.25">
      <c r="A3" s="62" t="s">
        <v>51</v>
      </c>
      <c r="B3" s="64" t="s">
        <v>3</v>
      </c>
      <c r="C3" s="64"/>
      <c r="D3" s="64"/>
      <c r="E3" s="38"/>
    </row>
    <row r="4" spans="1:8" ht="26.25">
      <c r="A4" s="63"/>
      <c r="B4" s="39" t="s">
        <v>53</v>
      </c>
      <c r="C4" s="40">
        <v>12</v>
      </c>
      <c r="D4" s="40">
        <v>16</v>
      </c>
      <c r="E4" s="38"/>
    </row>
    <row r="5" spans="1:8" ht="26.25">
      <c r="A5" s="41" t="s">
        <v>52</v>
      </c>
      <c r="B5" s="42"/>
      <c r="C5" s="42"/>
      <c r="D5" s="42"/>
      <c r="E5" s="38"/>
    </row>
    <row r="6" spans="1:8" ht="26.25">
      <c r="A6" s="41" t="s">
        <v>58</v>
      </c>
      <c r="B6" s="42"/>
      <c r="C6" s="42"/>
      <c r="D6" s="42"/>
      <c r="E6" s="38"/>
    </row>
    <row r="7" spans="1:8" ht="26.25">
      <c r="A7" s="41" t="s">
        <v>55</v>
      </c>
      <c r="B7" s="42"/>
      <c r="C7" s="42"/>
      <c r="D7" s="43"/>
      <c r="E7" s="38"/>
    </row>
    <row r="8" spans="1:8" ht="26.25">
      <c r="A8" s="41" t="s">
        <v>56</v>
      </c>
      <c r="B8" s="42"/>
      <c r="C8" s="42"/>
      <c r="D8" s="42"/>
      <c r="E8" s="38"/>
    </row>
    <row r="9" spans="1:8" ht="26.25">
      <c r="A9" s="41" t="s">
        <v>57</v>
      </c>
      <c r="B9" s="42"/>
      <c r="C9" s="42"/>
      <c r="D9" s="42"/>
      <c r="E9" s="38"/>
    </row>
  </sheetData>
  <mergeCells count="3">
    <mergeCell ref="A3:A4"/>
    <mergeCell ref="B3:D3"/>
    <mergeCell ref="A1:D1"/>
  </mergeCells>
  <pageMargins left="1.26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</vt:lpstr>
      <vt:lpstr>расшифровка ФОТ</vt:lpstr>
      <vt:lpstr>провайдеры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2019-04-26T13:40:20Z</dcterms:modified>
</cp:coreProperties>
</file>