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1" r:id="rId1"/>
    <sheet name="расшифровка ФОТ" sheetId="2" r:id="rId2"/>
    <sheet name="провайдеры" sheetId="4" r:id="rId3"/>
    <sheet name="Лист1" sheetId="5" r:id="rId4"/>
  </sheets>
  <calcPr calcId="124519"/>
</workbook>
</file>

<file path=xl/calcChain.xml><?xml version="1.0" encoding="utf-8"?>
<calcChain xmlns="http://schemas.openxmlformats.org/spreadsheetml/2006/main">
  <c r="B56" i="1"/>
  <c r="C56" s="1"/>
  <c r="E55"/>
  <c r="D55"/>
  <c r="C54"/>
  <c r="E54"/>
  <c r="D54"/>
  <c r="F21"/>
  <c r="B17"/>
  <c r="B44"/>
  <c r="D52"/>
  <c r="E52"/>
  <c r="B48"/>
  <c r="B49"/>
  <c r="B50"/>
  <c r="B51"/>
  <c r="B46"/>
  <c r="B47"/>
  <c r="B53"/>
  <c r="B57"/>
  <c r="B45"/>
  <c r="B38"/>
  <c r="E38" s="1"/>
  <c r="B43"/>
  <c r="C43" s="1"/>
  <c r="F40"/>
  <c r="E40"/>
  <c r="D40"/>
  <c r="C40"/>
  <c r="F39"/>
  <c r="E39"/>
  <c r="D39"/>
  <c r="C39"/>
  <c r="F37"/>
  <c r="E37"/>
  <c r="D37"/>
  <c r="C37"/>
  <c r="B34"/>
  <c r="B35"/>
  <c r="B36"/>
  <c r="B33"/>
  <c r="B31"/>
  <c r="C31" s="1"/>
  <c r="B41"/>
  <c r="B42"/>
  <c r="C27"/>
  <c r="D27"/>
  <c r="E27"/>
  <c r="F27"/>
  <c r="C28"/>
  <c r="D28"/>
  <c r="E28"/>
  <c r="F28"/>
  <c r="C29"/>
  <c r="D29"/>
  <c r="E29"/>
  <c r="F29"/>
  <c r="C30"/>
  <c r="D30"/>
  <c r="E30"/>
  <c r="F30"/>
  <c r="C32"/>
  <c r="D32"/>
  <c r="E32"/>
  <c r="F32"/>
  <c r="J10" i="4"/>
  <c r="G10"/>
  <c r="D10"/>
  <c r="J9"/>
  <c r="D9"/>
  <c r="G9"/>
  <c r="I9"/>
  <c r="F9"/>
  <c r="E9"/>
  <c r="C9"/>
  <c r="D8"/>
  <c r="G8"/>
  <c r="B14" i="1"/>
  <c r="C13"/>
  <c r="B11"/>
  <c r="E56" l="1"/>
  <c r="E58" s="1"/>
  <c r="D56"/>
  <c r="F56"/>
  <c r="F58" s="1"/>
  <c r="C58"/>
  <c r="B55"/>
  <c r="D58"/>
  <c r="B54"/>
  <c r="B52"/>
  <c r="D31"/>
  <c r="F43"/>
  <c r="E43"/>
  <c r="D43"/>
  <c r="F38"/>
  <c r="D38"/>
  <c r="C38"/>
  <c r="E31"/>
  <c r="F31"/>
  <c r="B26"/>
  <c r="F13"/>
  <c r="F10"/>
  <c r="C22" i="2"/>
  <c r="B22"/>
  <c r="D21"/>
  <c r="E21" s="1"/>
  <c r="E20"/>
  <c r="F20" s="1"/>
  <c r="D20"/>
  <c r="D19"/>
  <c r="E18"/>
  <c r="D18"/>
  <c r="F18" s="1"/>
  <c r="D17"/>
  <c r="D22" s="1"/>
  <c r="C13"/>
  <c r="B13"/>
  <c r="D12"/>
  <c r="E12" s="1"/>
  <c r="E11"/>
  <c r="F11" s="1"/>
  <c r="D11"/>
  <c r="D10"/>
  <c r="E10" s="1"/>
  <c r="E9"/>
  <c r="D9"/>
  <c r="F9" s="1"/>
  <c r="D8"/>
  <c r="E8" s="1"/>
  <c r="E7"/>
  <c r="F7" s="1"/>
  <c r="D7"/>
  <c r="D6"/>
  <c r="E5"/>
  <c r="D5"/>
  <c r="D13" s="1"/>
  <c r="B58" i="1" l="1"/>
  <c r="E13" i="2"/>
  <c r="F10"/>
  <c r="E6"/>
  <c r="F6" s="1"/>
  <c r="E19"/>
  <c r="F19" s="1"/>
  <c r="F8"/>
  <c r="F12"/>
  <c r="F21"/>
  <c r="F5"/>
  <c r="E17"/>
  <c r="F60" i="1" l="1"/>
  <c r="E22" i="2"/>
  <c r="F17"/>
  <c r="F22" s="1"/>
  <c r="F13"/>
  <c r="I11" i="4" l="1"/>
  <c r="J11"/>
  <c r="G11"/>
  <c r="F11"/>
  <c r="F8"/>
  <c r="C8"/>
  <c r="E13" i="1"/>
  <c r="E21" s="1"/>
  <c r="D13"/>
  <c r="D21" s="1"/>
  <c r="C21"/>
  <c r="B20"/>
  <c r="B19"/>
  <c r="L7" i="4"/>
  <c r="L10"/>
  <c r="K7"/>
  <c r="L6"/>
  <c r="K6"/>
  <c r="B13" i="1" l="1"/>
  <c r="B21" s="1"/>
  <c r="L9" i="4"/>
  <c r="K9"/>
  <c r="L8"/>
  <c r="D11"/>
  <c r="K8"/>
  <c r="C11"/>
  <c r="K11" s="1"/>
  <c r="K10"/>
  <c r="D10" i="1"/>
  <c r="E10"/>
  <c r="C10"/>
  <c r="B15"/>
  <c r="B10" l="1"/>
  <c r="L11" i="4"/>
  <c r="B12" i="1"/>
  <c r="B60" l="1"/>
  <c r="E25" l="1"/>
  <c r="D25"/>
  <c r="C25"/>
  <c r="E8"/>
  <c r="D8"/>
  <c r="C8"/>
  <c r="B8" l="1"/>
  <c r="B25"/>
  <c r="E60" l="1"/>
  <c r="D60" l="1"/>
  <c r="C60"/>
</calcChain>
</file>

<file path=xl/sharedStrings.xml><?xml version="1.0" encoding="utf-8"?>
<sst xmlns="http://schemas.openxmlformats.org/spreadsheetml/2006/main" count="111" uniqueCount="86">
  <si>
    <t>Начислено</t>
  </si>
  <si>
    <t>Дома</t>
  </si>
  <si>
    <t>Расходы</t>
  </si>
  <si>
    <t>оплачено</t>
  </si>
  <si>
    <t>Жители</t>
  </si>
  <si>
    <t xml:space="preserve"> ФОТ АУП</t>
  </si>
  <si>
    <t>наименованоние должности</t>
  </si>
  <si>
    <t>Страховые взосы</t>
  </si>
  <si>
    <t>Затраты в год</t>
  </si>
  <si>
    <t>Генеральный директор</t>
  </si>
  <si>
    <t>Главный бухгалтер</t>
  </si>
  <si>
    <t>Юрист</t>
  </si>
  <si>
    <t>Бухгалтер РКЦ</t>
  </si>
  <si>
    <t>Экономист</t>
  </si>
  <si>
    <t>Главный инженер</t>
  </si>
  <si>
    <t>Специалист договорного отдела</t>
  </si>
  <si>
    <t>ИТОГО</t>
  </si>
  <si>
    <t>Количество штатных единиц</t>
  </si>
  <si>
    <t>Оклад</t>
  </si>
  <si>
    <t>ФОТ в месяц</t>
  </si>
  <si>
    <t xml:space="preserve"> ФОТ РАБОЧИЕ</t>
  </si>
  <si>
    <t>Специалист АДС</t>
  </si>
  <si>
    <t>Электрик</t>
  </si>
  <si>
    <t>Сантехник</t>
  </si>
  <si>
    <t>Дворник</t>
  </si>
  <si>
    <t>Уборщица</t>
  </si>
  <si>
    <t>Расшифровка Фонда оплаты труда</t>
  </si>
  <si>
    <t xml:space="preserve">       Отчет </t>
  </si>
  <si>
    <t>управляющей организации  ООО "ЭкоМир"</t>
  </si>
  <si>
    <t>Общая площадь дома</t>
  </si>
  <si>
    <t>Застройщик</t>
  </si>
  <si>
    <t>Заработная плата+начисления на ФОТ АУП</t>
  </si>
  <si>
    <t>Заработная плата+начисления на ФОТ Рабочие</t>
  </si>
  <si>
    <t>Начисления</t>
  </si>
  <si>
    <t>Аренда офисного помещения</t>
  </si>
  <si>
    <t>Общая площадь           дома</t>
  </si>
  <si>
    <t>Итого затрат в год</t>
  </si>
  <si>
    <t>Провайдеры</t>
  </si>
  <si>
    <t>ООО "Дрим Лайн"</t>
  </si>
  <si>
    <t>12/1</t>
  </si>
  <si>
    <t>Расшифровка платы взымаемой с интернет-провайдеров</t>
  </si>
  <si>
    <t>ПАО "Ростелеком"</t>
  </si>
  <si>
    <t>ООО "Зенком"</t>
  </si>
  <si>
    <t>ООО "Новая линия"</t>
  </si>
  <si>
    <t>ООО "Объединенные сети"</t>
  </si>
  <si>
    <t>Почтовые услуги</t>
  </si>
  <si>
    <t>Банковские услуги</t>
  </si>
  <si>
    <t>Материалы для обслуживания  ремонта МКД</t>
  </si>
  <si>
    <t>Делопроизводитель</t>
  </si>
  <si>
    <t>Плата за месяц</t>
  </si>
  <si>
    <t>Начислено за год</t>
  </si>
  <si>
    <t>Итого начислено</t>
  </si>
  <si>
    <t>Оплачено за год</t>
  </si>
  <si>
    <t>ХХХХХХХХХХХ</t>
  </si>
  <si>
    <t>Итого собрано</t>
  </si>
  <si>
    <t>Обслуживание программы 1С</t>
  </si>
  <si>
    <t>Канцелярские товары</t>
  </si>
  <si>
    <t>Обслуживание программы Контур.Экстерн</t>
  </si>
  <si>
    <t>Ведение регистрационного учета граждан</t>
  </si>
  <si>
    <t>Итого затрат</t>
  </si>
  <si>
    <t xml:space="preserve">Процент распределения затрат </t>
  </si>
  <si>
    <t>Электроснабжение в целях содержания общего мущества МКД</t>
  </si>
  <si>
    <t>Холодное водоснабжение в целях содержания общего мущества МКД</t>
  </si>
  <si>
    <t>Водоотвдение в целях содержания общего мущества МКД</t>
  </si>
  <si>
    <t>Госпошлина, выписки из ЕГРН</t>
  </si>
  <si>
    <t xml:space="preserve">Всего собрано средств за год </t>
  </si>
  <si>
    <t>Содержание и ремонт</t>
  </si>
  <si>
    <t>Горячее водоснабжение в целях содержания общего мущества МКД</t>
  </si>
  <si>
    <t>по услугам, предоставляемым за отчетный период 2021 г.</t>
  </si>
  <si>
    <t>Работы по техническому обслуживанию и ремонту внутридомового газового оборудования</t>
  </si>
  <si>
    <t>Ремонт подъемной платформы</t>
  </si>
  <si>
    <t>Диагностика и ремонт насоса</t>
  </si>
  <si>
    <t>Проверка АПС на работоспособность</t>
  </si>
  <si>
    <t>Проврка сметной документации на ремонт подъезда</t>
  </si>
  <si>
    <t>Замена стального каната лифтового оборудования</t>
  </si>
  <si>
    <t>Замена лифтового обрамления</t>
  </si>
  <si>
    <t>Осуществление строитеного контроля при выполнении работ по каитальному ремонту подъездов</t>
  </si>
  <si>
    <t>Замена башмаков лифтового оборудования</t>
  </si>
  <si>
    <t>Установка металической противопажарной двери</t>
  </si>
  <si>
    <t>Оценка соответствия требованиям регламента Таможенного союза "Безопастность лифтов"</t>
  </si>
  <si>
    <t>Ремонт подъеза по программе капитального ремонта</t>
  </si>
  <si>
    <t>Субсидии</t>
  </si>
  <si>
    <t>Субсидия на ремонт подъезда</t>
  </si>
  <si>
    <t>Чистка теплообменников</t>
  </si>
  <si>
    <t>Чистка грязевиков</t>
  </si>
  <si>
    <t>Вывоз снега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</si>
</sst>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7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1" fillId="0" borderId="8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" fontId="0" fillId="0" borderId="1" xfId="0" applyNumberFormat="1" applyFill="1" applyBorder="1" applyAlignment="1">
      <alignment horizontal="right" vertical="center"/>
    </xf>
    <xf numFmtId="4" fontId="1" fillId="0" borderId="0" xfId="0" applyNumberFormat="1" applyFont="1" applyFill="1"/>
    <xf numFmtId="4" fontId="0" fillId="0" borderId="0" xfId="0" applyNumberFormat="1" applyFill="1"/>
    <xf numFmtId="4" fontId="0" fillId="0" borderId="1" xfId="0" applyNumberFormat="1" applyFill="1" applyBorder="1" applyAlignment="1"/>
    <xf numFmtId="0" fontId="0" fillId="0" borderId="4" xfId="0" applyFill="1" applyBorder="1" applyAlignment="1">
      <alignment horizontal="left" wrapText="1"/>
    </xf>
    <xf numFmtId="4" fontId="0" fillId="2" borderId="1" xfId="0" applyNumberForma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topLeftCell="A17" workbookViewId="0">
      <selection activeCell="B33" sqref="B33"/>
    </sheetView>
  </sheetViews>
  <sheetFormatPr defaultRowHeight="15"/>
  <cols>
    <col min="1" max="1" width="45.85546875" style="16" customWidth="1"/>
    <col min="2" max="2" width="18.7109375" style="16" customWidth="1"/>
    <col min="3" max="3" width="16.28515625" style="16" customWidth="1"/>
    <col min="4" max="4" width="14.5703125" style="16" customWidth="1"/>
    <col min="5" max="5" width="15.5703125" style="16" customWidth="1"/>
    <col min="6" max="6" width="14.28515625" style="59" customWidth="1"/>
    <col min="7" max="16384" width="9.140625" style="16"/>
  </cols>
  <sheetData>
    <row r="1" spans="1:9" s="18" customFormat="1" ht="15.75" customHeight="1">
      <c r="C1" s="30"/>
      <c r="D1" s="30"/>
      <c r="E1" s="31"/>
      <c r="F1" s="32"/>
    </row>
    <row r="2" spans="1:9" s="18" customFormat="1" ht="15.75" customHeight="1">
      <c r="A2" s="69" t="s">
        <v>27</v>
      </c>
      <c r="B2" s="69"/>
      <c r="C2" s="69"/>
      <c r="D2" s="69"/>
      <c r="E2" s="69"/>
      <c r="F2" s="33"/>
      <c r="G2" s="34"/>
      <c r="H2" s="34"/>
      <c r="I2" s="34"/>
    </row>
    <row r="3" spans="1:9" s="18" customFormat="1" ht="15.75" customHeight="1">
      <c r="A3" s="70" t="s">
        <v>28</v>
      </c>
      <c r="B3" s="70"/>
      <c r="C3" s="70"/>
      <c r="D3" s="70"/>
      <c r="E3" s="70"/>
      <c r="F3" s="35"/>
      <c r="G3" s="36"/>
      <c r="H3" s="36"/>
      <c r="I3" s="36"/>
    </row>
    <row r="4" spans="1:9" s="18" customFormat="1" ht="15.75">
      <c r="A4" s="71" t="s">
        <v>68</v>
      </c>
      <c r="B4" s="71"/>
      <c r="C4" s="71"/>
      <c r="D4" s="71"/>
      <c r="E4" s="71"/>
      <c r="F4" s="37"/>
      <c r="G4" s="38"/>
      <c r="H4" s="38"/>
      <c r="I4" s="38"/>
    </row>
    <row r="6" spans="1:9">
      <c r="A6" s="73" t="s">
        <v>33</v>
      </c>
      <c r="B6" s="72" t="s">
        <v>35</v>
      </c>
      <c r="C6" s="76" t="s">
        <v>1</v>
      </c>
      <c r="D6" s="76"/>
      <c r="E6" s="76"/>
      <c r="F6" s="76"/>
    </row>
    <row r="7" spans="1:9">
      <c r="A7" s="74"/>
      <c r="B7" s="72"/>
      <c r="C7" s="39">
        <v>12</v>
      </c>
      <c r="D7" s="40" t="s">
        <v>39</v>
      </c>
      <c r="E7" s="41">
        <v>16</v>
      </c>
      <c r="F7" s="42">
        <v>19</v>
      </c>
    </row>
    <row r="8" spans="1:9">
      <c r="A8" s="75"/>
      <c r="B8" s="43">
        <f>C8+D8+E8</f>
        <v>32931.699999999997</v>
      </c>
      <c r="C8" s="13">
        <f>14451.9+1452.7</f>
        <v>15904.6</v>
      </c>
      <c r="D8" s="14">
        <f>8003.7+808.4</f>
        <v>8812.1</v>
      </c>
      <c r="E8" s="14">
        <f>7112.5+1102.5</f>
        <v>8215</v>
      </c>
      <c r="F8" s="14">
        <v>2461.3000000000002</v>
      </c>
    </row>
    <row r="9" spans="1:9">
      <c r="A9" s="63" t="s">
        <v>66</v>
      </c>
      <c r="B9" s="64"/>
      <c r="C9" s="64"/>
      <c r="D9" s="64"/>
      <c r="E9" s="64"/>
      <c r="F9" s="65"/>
    </row>
    <row r="10" spans="1:9">
      <c r="A10" s="44" t="s">
        <v>0</v>
      </c>
      <c r="B10" s="45">
        <f>C10+D10+E10+F10</f>
        <v>13371285.25</v>
      </c>
      <c r="C10" s="45">
        <f>C11+C12</f>
        <v>6206167.1699999999</v>
      </c>
      <c r="D10" s="45">
        <f>D11+D12</f>
        <v>3573357</v>
      </c>
      <c r="E10" s="45">
        <f t="shared" ref="E10:F10" si="0">E11+E12</f>
        <v>3033381.88</v>
      </c>
      <c r="F10" s="45">
        <f t="shared" si="0"/>
        <v>558379.19999999995</v>
      </c>
    </row>
    <row r="11" spans="1:9">
      <c r="A11" s="4" t="s">
        <v>4</v>
      </c>
      <c r="B11" s="46">
        <f>C11+D11+E11+F11</f>
        <v>13371285.25</v>
      </c>
      <c r="C11" s="11">
        <v>6206167.1699999999</v>
      </c>
      <c r="D11" s="11">
        <v>3573357</v>
      </c>
      <c r="E11" s="11">
        <v>3033381.88</v>
      </c>
      <c r="F11" s="11">
        <v>558379.19999999995</v>
      </c>
    </row>
    <row r="12" spans="1:9">
      <c r="A12" s="4" t="s">
        <v>30</v>
      </c>
      <c r="B12" s="46">
        <f>C12+D12+E12</f>
        <v>0</v>
      </c>
      <c r="C12" s="62"/>
      <c r="D12" s="11">
        <v>0</v>
      </c>
      <c r="E12" s="11">
        <v>0</v>
      </c>
      <c r="F12" s="11"/>
    </row>
    <row r="13" spans="1:9">
      <c r="A13" s="44" t="s">
        <v>3</v>
      </c>
      <c r="B13" s="45">
        <f>C13+D13+E13+F13</f>
        <v>13362808.85</v>
      </c>
      <c r="C13" s="45">
        <f>C14+C15</f>
        <v>6231011.3499999996</v>
      </c>
      <c r="D13" s="45">
        <f>D14+D15</f>
        <v>3507196.57</v>
      </c>
      <c r="E13" s="45">
        <f>E14+E15</f>
        <v>3077793.24</v>
      </c>
      <c r="F13" s="45">
        <f>F14+F15</f>
        <v>546807.68999999994</v>
      </c>
    </row>
    <row r="14" spans="1:9">
      <c r="A14" s="4" t="s">
        <v>4</v>
      </c>
      <c r="B14" s="46">
        <f>C14+D14+E14+F14</f>
        <v>13362808.85</v>
      </c>
      <c r="C14" s="11">
        <v>6231011.3499999996</v>
      </c>
      <c r="D14" s="11">
        <v>3507196.57</v>
      </c>
      <c r="E14" s="11">
        <v>3077793.24</v>
      </c>
      <c r="F14" s="11">
        <v>546807.68999999994</v>
      </c>
    </row>
    <row r="15" spans="1:9" ht="15.75" customHeight="1">
      <c r="A15" s="4" t="s">
        <v>30</v>
      </c>
      <c r="B15" s="46">
        <f t="shared" ref="B15" si="1">C15+D15+E15</f>
        <v>0</v>
      </c>
      <c r="C15" s="11"/>
      <c r="D15" s="11">
        <v>0</v>
      </c>
      <c r="E15" s="11">
        <v>0</v>
      </c>
      <c r="F15" s="11"/>
    </row>
    <row r="16" spans="1:9" ht="15.75" customHeight="1">
      <c r="A16" s="63" t="s">
        <v>81</v>
      </c>
      <c r="B16" s="64"/>
      <c r="C16" s="64"/>
      <c r="D16" s="64"/>
      <c r="E16" s="64"/>
      <c r="F16" s="65"/>
    </row>
    <row r="17" spans="1:7" ht="15.75" customHeight="1">
      <c r="A17" s="4" t="s">
        <v>82</v>
      </c>
      <c r="B17" s="46">
        <f>C17+D17+E17+F17</f>
        <v>226250.19</v>
      </c>
      <c r="C17" s="11">
        <v>0</v>
      </c>
      <c r="D17" s="11">
        <v>0</v>
      </c>
      <c r="E17" s="11">
        <v>0</v>
      </c>
      <c r="F17" s="11">
        <v>226250.19</v>
      </c>
    </row>
    <row r="18" spans="1:7">
      <c r="A18" s="63" t="s">
        <v>37</v>
      </c>
      <c r="B18" s="64"/>
      <c r="C18" s="64"/>
      <c r="D18" s="64"/>
      <c r="E18" s="64"/>
      <c r="F18" s="65"/>
    </row>
    <row r="19" spans="1:7">
      <c r="A19" s="4" t="s">
        <v>0</v>
      </c>
      <c r="B19" s="46">
        <f>C19+D19+E19</f>
        <v>103087</v>
      </c>
      <c r="C19" s="46">
        <v>42651</v>
      </c>
      <c r="D19" s="46">
        <v>35236</v>
      </c>
      <c r="E19" s="46">
        <v>25200</v>
      </c>
      <c r="F19" s="11">
        <v>0</v>
      </c>
    </row>
    <row r="20" spans="1:7">
      <c r="A20" s="4" t="s">
        <v>3</v>
      </c>
      <c r="B20" s="46">
        <f>C20+D20+E20</f>
        <v>80958.720000000001</v>
      </c>
      <c r="C20" s="46">
        <v>36513.72</v>
      </c>
      <c r="D20" s="46">
        <v>27345</v>
      </c>
      <c r="E20" s="46">
        <v>17100</v>
      </c>
      <c r="F20" s="11">
        <v>0</v>
      </c>
    </row>
    <row r="21" spans="1:7">
      <c r="A21" s="10" t="s">
        <v>65</v>
      </c>
      <c r="B21" s="47">
        <f>B13+B20</f>
        <v>13443767.57</v>
      </c>
      <c r="C21" s="47">
        <f>C13+C20</f>
        <v>6267525.0699999994</v>
      </c>
      <c r="D21" s="47">
        <f>D13+D20</f>
        <v>3534541.57</v>
      </c>
      <c r="E21" s="47">
        <f>E13+E20</f>
        <v>3094893.24</v>
      </c>
      <c r="F21" s="47">
        <f>F13+F20+F17</f>
        <v>773057.87999999989</v>
      </c>
    </row>
    <row r="23" spans="1:7">
      <c r="A23" s="66" t="s">
        <v>2</v>
      </c>
      <c r="B23" s="67" t="s">
        <v>59</v>
      </c>
      <c r="C23" s="76" t="s">
        <v>1</v>
      </c>
      <c r="D23" s="76"/>
      <c r="E23" s="76"/>
      <c r="F23" s="76"/>
    </row>
    <row r="24" spans="1:7">
      <c r="A24" s="66"/>
      <c r="B24" s="68"/>
      <c r="C24" s="48">
        <v>12</v>
      </c>
      <c r="D24" s="49" t="s">
        <v>39</v>
      </c>
      <c r="E24" s="48">
        <v>16</v>
      </c>
      <c r="F24" s="50">
        <v>19</v>
      </c>
    </row>
    <row r="25" spans="1:7" ht="15.75" customHeight="1">
      <c r="A25" s="51" t="s">
        <v>29</v>
      </c>
      <c r="B25" s="52">
        <f>C25+D25+E25</f>
        <v>32931.699999999997</v>
      </c>
      <c r="C25" s="14">
        <f>14451.9+1452.7</f>
        <v>15904.6</v>
      </c>
      <c r="D25" s="14">
        <f>8003.7+808.4</f>
        <v>8812.1</v>
      </c>
      <c r="E25" s="14">
        <f>7112.5+1102.5</f>
        <v>8215</v>
      </c>
      <c r="F25" s="14">
        <v>2461.3000000000002</v>
      </c>
    </row>
    <row r="26" spans="1:7" ht="30" customHeight="1">
      <c r="A26" s="53" t="s">
        <v>60</v>
      </c>
      <c r="B26" s="54">
        <f>C26+D26+E26+F26</f>
        <v>1</v>
      </c>
      <c r="C26" s="54">
        <v>0.44940000000000002</v>
      </c>
      <c r="D26" s="54">
        <v>0.249</v>
      </c>
      <c r="E26" s="54">
        <v>0.2321</v>
      </c>
      <c r="F26" s="54">
        <v>6.9500000000000006E-2</v>
      </c>
    </row>
    <row r="27" spans="1:7" ht="30" customHeight="1">
      <c r="A27" s="55" t="s">
        <v>31</v>
      </c>
      <c r="B27" s="11">
        <v>6327720</v>
      </c>
      <c r="C27" s="12">
        <f>B27*C26</f>
        <v>2843677.3680000002</v>
      </c>
      <c r="D27" s="12">
        <f>B27*D26</f>
        <v>1575602.28</v>
      </c>
      <c r="E27" s="12">
        <f>B27*E26</f>
        <v>1468663.8119999999</v>
      </c>
      <c r="F27" s="11">
        <f>B27*F26</f>
        <v>439776.54000000004</v>
      </c>
      <c r="G27" s="56"/>
    </row>
    <row r="28" spans="1:7" ht="30" customHeight="1">
      <c r="A28" s="55" t="s">
        <v>32</v>
      </c>
      <c r="B28" s="11">
        <v>3421656</v>
      </c>
      <c r="C28" s="12">
        <f>B28*C26</f>
        <v>1537692.2064</v>
      </c>
      <c r="D28" s="12">
        <f>B28*D26</f>
        <v>851992.34400000004</v>
      </c>
      <c r="E28" s="12">
        <f>B28*E26</f>
        <v>794166.35759999999</v>
      </c>
      <c r="F28" s="11">
        <f>B28*F26</f>
        <v>237805.09200000003</v>
      </c>
      <c r="G28" s="56"/>
    </row>
    <row r="29" spans="1:7" ht="15" customHeight="1">
      <c r="A29" s="4" t="s">
        <v>45</v>
      </c>
      <c r="B29" s="11">
        <v>19352.439999999999</v>
      </c>
      <c r="C29" s="57">
        <f>B29*C26</f>
        <v>8696.9865360000003</v>
      </c>
      <c r="D29" s="57">
        <f>B29*D26</f>
        <v>4818.75756</v>
      </c>
      <c r="E29" s="57">
        <f>B29*E26</f>
        <v>4491.7013239999997</v>
      </c>
      <c r="F29" s="11">
        <f>B29*F26</f>
        <v>1344.99458</v>
      </c>
    </row>
    <row r="30" spans="1:7" ht="15" customHeight="1">
      <c r="A30" s="4" t="s">
        <v>46</v>
      </c>
      <c r="B30" s="11">
        <v>448856.86</v>
      </c>
      <c r="C30" s="57">
        <f>B30*C26</f>
        <v>201716.27288400001</v>
      </c>
      <c r="D30" s="57">
        <f>B30*D26</f>
        <v>111765.35814</v>
      </c>
      <c r="E30" s="57">
        <f>B30*E26</f>
        <v>104179.67720599999</v>
      </c>
      <c r="F30" s="11">
        <f>B30*F26</f>
        <v>31195.551770000002</v>
      </c>
    </row>
    <row r="31" spans="1:7" ht="28.5" customHeight="1">
      <c r="A31" s="55" t="s">
        <v>64</v>
      </c>
      <c r="B31" s="12">
        <f>10926+400</f>
        <v>11326</v>
      </c>
      <c r="C31" s="12">
        <f>B31*C26</f>
        <v>5089.9044000000004</v>
      </c>
      <c r="D31" s="12">
        <f>B31*D26</f>
        <v>2820.174</v>
      </c>
      <c r="E31" s="12">
        <f>B31*E26</f>
        <v>2628.7646</v>
      </c>
      <c r="F31" s="11">
        <f>B31*F26</f>
        <v>787.15700000000004</v>
      </c>
    </row>
    <row r="32" spans="1:7" ht="33" customHeight="1">
      <c r="A32" s="55" t="s">
        <v>47</v>
      </c>
      <c r="B32" s="11">
        <v>3234671.03</v>
      </c>
      <c r="C32" s="12">
        <f>B32*C26</f>
        <v>1453661.1608819999</v>
      </c>
      <c r="D32" s="12">
        <f>B32*D26</f>
        <v>805433.08646999998</v>
      </c>
      <c r="E32" s="12">
        <f>B32*E26</f>
        <v>750767.14606299996</v>
      </c>
      <c r="F32" s="11">
        <f>B32*F26</f>
        <v>224809.636585</v>
      </c>
    </row>
    <row r="33" spans="1:6" ht="33" customHeight="1">
      <c r="A33" s="61" t="s">
        <v>61</v>
      </c>
      <c r="B33" s="60">
        <f>C33+D33+E33+F33</f>
        <v>351759.48000000004</v>
      </c>
      <c r="C33" s="12">
        <v>161616.03</v>
      </c>
      <c r="D33" s="12">
        <v>102625.22</v>
      </c>
      <c r="E33" s="12">
        <v>82224.39</v>
      </c>
      <c r="F33" s="11">
        <v>5293.84</v>
      </c>
    </row>
    <row r="34" spans="1:6" ht="33" customHeight="1">
      <c r="A34" s="61" t="s">
        <v>67</v>
      </c>
      <c r="B34" s="60">
        <f t="shared" ref="B34:B36" si="2">C34+D34+E34+F34</f>
        <v>29012.579999999998</v>
      </c>
      <c r="C34" s="12">
        <v>12835.71</v>
      </c>
      <c r="D34" s="12">
        <v>7925.3</v>
      </c>
      <c r="E34" s="12">
        <v>5604.63</v>
      </c>
      <c r="F34" s="11">
        <v>2646.94</v>
      </c>
    </row>
    <row r="35" spans="1:6" ht="33" customHeight="1">
      <c r="A35" s="61" t="s">
        <v>62</v>
      </c>
      <c r="B35" s="60">
        <f t="shared" si="2"/>
        <v>4281.13</v>
      </c>
      <c r="C35" s="12">
        <v>1926.19</v>
      </c>
      <c r="D35" s="12">
        <v>1189.6099999999999</v>
      </c>
      <c r="E35" s="12">
        <v>747.28</v>
      </c>
      <c r="F35" s="11">
        <v>418.05</v>
      </c>
    </row>
    <row r="36" spans="1:6" ht="33" customHeight="1">
      <c r="A36" s="61" t="s">
        <v>63</v>
      </c>
      <c r="B36" s="60">
        <f t="shared" si="2"/>
        <v>13144.77</v>
      </c>
      <c r="C36" s="12">
        <v>5777.95</v>
      </c>
      <c r="D36" s="12">
        <v>3566.93</v>
      </c>
      <c r="E36" s="12">
        <v>2615.5300000000002</v>
      </c>
      <c r="F36" s="11">
        <v>1184.3599999999999</v>
      </c>
    </row>
    <row r="37" spans="1:6" ht="15" customHeight="1">
      <c r="A37" s="4" t="s">
        <v>34</v>
      </c>
      <c r="B37" s="11">
        <v>252973.84</v>
      </c>
      <c r="C37" s="12">
        <f>B37*C26</f>
        <v>113686.443696</v>
      </c>
      <c r="D37" s="12">
        <f>B37*D26</f>
        <v>62990.48616</v>
      </c>
      <c r="E37" s="12">
        <f>B37*E26</f>
        <v>58715.228263999998</v>
      </c>
      <c r="F37" s="12">
        <f>B37*F26</f>
        <v>17581.68188</v>
      </c>
    </row>
    <row r="38" spans="1:6" ht="15" customHeight="1">
      <c r="A38" s="4" t="s">
        <v>55</v>
      </c>
      <c r="B38" s="11">
        <f>43916+56661+1050+23040</f>
        <v>124667</v>
      </c>
      <c r="C38" s="12">
        <f>B38*C26</f>
        <v>56025.349800000004</v>
      </c>
      <c r="D38" s="12">
        <f>B38*D26</f>
        <v>31042.082999999999</v>
      </c>
      <c r="E38" s="12">
        <f>B38*E26</f>
        <v>28935.2107</v>
      </c>
      <c r="F38" s="12">
        <f>B38*F26</f>
        <v>8664.3564999999999</v>
      </c>
    </row>
    <row r="39" spans="1:6">
      <c r="A39" s="55" t="s">
        <v>57</v>
      </c>
      <c r="B39" s="11">
        <v>900</v>
      </c>
      <c r="C39" s="12">
        <f>B39*C26</f>
        <v>404.46000000000004</v>
      </c>
      <c r="D39" s="12">
        <f>B39*D26</f>
        <v>224.1</v>
      </c>
      <c r="E39" s="12">
        <f>B39*E26</f>
        <v>208.89000000000001</v>
      </c>
      <c r="F39" s="12">
        <f>B39*F26</f>
        <v>62.550000000000004</v>
      </c>
    </row>
    <row r="40" spans="1:6" ht="15" customHeight="1">
      <c r="A40" s="4" t="s">
        <v>56</v>
      </c>
      <c r="B40" s="11">
        <v>17483.27</v>
      </c>
      <c r="C40" s="12">
        <f>B40*C26</f>
        <v>7856.9815380000009</v>
      </c>
      <c r="D40" s="12">
        <f>B40*D26</f>
        <v>4353.3342300000004</v>
      </c>
      <c r="E40" s="12">
        <f>B40*E26</f>
        <v>4057.8669669999999</v>
      </c>
      <c r="F40" s="12">
        <f>B40*F26</f>
        <v>1215.0872650000001</v>
      </c>
    </row>
    <row r="41" spans="1:6">
      <c r="A41" s="55" t="s">
        <v>71</v>
      </c>
      <c r="B41" s="11">
        <f>C41+D41+E41+F41</f>
        <v>3000</v>
      </c>
      <c r="C41" s="12">
        <v>3000</v>
      </c>
      <c r="D41" s="12">
        <v>0</v>
      </c>
      <c r="E41" s="12">
        <v>0</v>
      </c>
      <c r="F41" s="11">
        <v>0</v>
      </c>
    </row>
    <row r="42" spans="1:6" ht="30.75" customHeight="1">
      <c r="A42" s="55" t="s">
        <v>69</v>
      </c>
      <c r="B42" s="11">
        <f t="shared" ref="B42" si="3">C42+D42+E42+F42</f>
        <v>8750</v>
      </c>
      <c r="C42" s="12">
        <v>0</v>
      </c>
      <c r="D42" s="12">
        <v>0</v>
      </c>
      <c r="E42" s="12">
        <v>0</v>
      </c>
      <c r="F42" s="11">
        <v>8750</v>
      </c>
    </row>
    <row r="43" spans="1:6">
      <c r="A43" s="55" t="s">
        <v>58</v>
      </c>
      <c r="B43" s="11">
        <f>10491.56*13</f>
        <v>136390.28</v>
      </c>
      <c r="C43" s="12">
        <f>B43*C26</f>
        <v>61293.791832000003</v>
      </c>
      <c r="D43" s="12">
        <f>B43*D26</f>
        <v>33961.17972</v>
      </c>
      <c r="E43" s="12">
        <f>B43*E26</f>
        <v>31656.183988000001</v>
      </c>
      <c r="F43" s="12">
        <f>B43*F26</f>
        <v>9479.1244600000009</v>
      </c>
    </row>
    <row r="44" spans="1:6" ht="30">
      <c r="A44" s="55" t="s">
        <v>80</v>
      </c>
      <c r="B44" s="11">
        <f>C44+D44+E44+F44</f>
        <v>476316.2</v>
      </c>
      <c r="C44" s="12"/>
      <c r="D44" s="12"/>
      <c r="E44" s="12"/>
      <c r="F44" s="12">
        <v>476316.2</v>
      </c>
    </row>
    <row r="45" spans="1:6">
      <c r="A45" s="55" t="s">
        <v>70</v>
      </c>
      <c r="B45" s="11">
        <f>C45+D45+E45+F45</f>
        <v>38700</v>
      </c>
      <c r="C45" s="12">
        <v>38700</v>
      </c>
      <c r="D45" s="12">
        <v>0</v>
      </c>
      <c r="E45" s="12">
        <v>0</v>
      </c>
      <c r="F45" s="11">
        <v>0</v>
      </c>
    </row>
    <row r="46" spans="1:6">
      <c r="A46" s="55" t="s">
        <v>72</v>
      </c>
      <c r="B46" s="11">
        <f t="shared" ref="B46:B57" si="4">C46+D46+E46+F46</f>
        <v>10000</v>
      </c>
      <c r="C46" s="12">
        <v>0</v>
      </c>
      <c r="D46" s="12">
        <v>0</v>
      </c>
      <c r="E46" s="12">
        <v>10000</v>
      </c>
      <c r="F46" s="11">
        <v>0</v>
      </c>
    </row>
    <row r="47" spans="1:6" ht="30.75" customHeight="1">
      <c r="A47" s="55" t="s">
        <v>73</v>
      </c>
      <c r="B47" s="11">
        <f t="shared" si="4"/>
        <v>4900</v>
      </c>
      <c r="C47" s="12">
        <v>0</v>
      </c>
      <c r="D47" s="12">
        <v>0</v>
      </c>
      <c r="E47" s="12">
        <v>0</v>
      </c>
      <c r="F47" s="11">
        <v>4900</v>
      </c>
    </row>
    <row r="48" spans="1:6" ht="30">
      <c r="A48" s="55" t="s">
        <v>74</v>
      </c>
      <c r="B48" s="11">
        <f t="shared" si="4"/>
        <v>5773</v>
      </c>
      <c r="C48" s="12">
        <v>0</v>
      </c>
      <c r="D48" s="12">
        <v>5773</v>
      </c>
      <c r="E48" s="12">
        <v>0</v>
      </c>
      <c r="F48" s="11">
        <v>0</v>
      </c>
    </row>
    <row r="49" spans="1:6">
      <c r="A49" s="55" t="s">
        <v>75</v>
      </c>
      <c r="B49" s="11">
        <f t="shared" si="4"/>
        <v>90000</v>
      </c>
      <c r="C49" s="12">
        <v>90000</v>
      </c>
      <c r="D49" s="12">
        <v>0</v>
      </c>
      <c r="E49" s="12">
        <v>0</v>
      </c>
      <c r="F49" s="11">
        <v>0</v>
      </c>
    </row>
    <row r="50" spans="1:6" ht="45">
      <c r="A50" s="55" t="s">
        <v>76</v>
      </c>
      <c r="B50" s="11">
        <f t="shared" si="4"/>
        <v>10193.17</v>
      </c>
      <c r="C50" s="12">
        <v>0</v>
      </c>
      <c r="D50" s="12">
        <v>0</v>
      </c>
      <c r="E50" s="12">
        <v>0</v>
      </c>
      <c r="F50" s="11">
        <v>10193.17</v>
      </c>
    </row>
    <row r="51" spans="1:6">
      <c r="A51" s="55" t="s">
        <v>77</v>
      </c>
      <c r="B51" s="11">
        <f t="shared" si="4"/>
        <v>199359.97</v>
      </c>
      <c r="C51" s="12">
        <v>199359.97</v>
      </c>
      <c r="D51" s="12">
        <v>0</v>
      </c>
      <c r="E51" s="12">
        <v>0</v>
      </c>
      <c r="F51" s="11">
        <v>0</v>
      </c>
    </row>
    <row r="52" spans="1:6" ht="30">
      <c r="A52" s="55" t="s">
        <v>78</v>
      </c>
      <c r="B52" s="11">
        <f t="shared" si="4"/>
        <v>150000</v>
      </c>
      <c r="C52" s="12">
        <v>0</v>
      </c>
      <c r="D52" s="12">
        <f>25000*4</f>
        <v>100000</v>
      </c>
      <c r="E52" s="12">
        <f>2*25000</f>
        <v>50000</v>
      </c>
      <c r="F52" s="11">
        <v>0</v>
      </c>
    </row>
    <row r="53" spans="1:6" ht="30">
      <c r="A53" s="55" t="s">
        <v>79</v>
      </c>
      <c r="B53" s="11">
        <f t="shared" si="4"/>
        <v>27928.2</v>
      </c>
      <c r="C53" s="12">
        <v>27928.2</v>
      </c>
      <c r="D53" s="12">
        <v>0</v>
      </c>
      <c r="E53" s="12">
        <v>0</v>
      </c>
      <c r="F53" s="11">
        <v>0</v>
      </c>
    </row>
    <row r="54" spans="1:6">
      <c r="A54" s="55" t="s">
        <v>83</v>
      </c>
      <c r="B54" s="11">
        <f t="shared" si="4"/>
        <v>83436.800000000003</v>
      </c>
      <c r="C54" s="12">
        <f>5214.8+15644.4+5214.8+15644.4</f>
        <v>41718.400000000001</v>
      </c>
      <c r="D54" s="12">
        <f t="shared" ref="D54:E54" si="5">5214.8+15644.4</f>
        <v>20859.2</v>
      </c>
      <c r="E54" s="12">
        <f t="shared" si="5"/>
        <v>20859.2</v>
      </c>
      <c r="F54" s="11">
        <v>0</v>
      </c>
    </row>
    <row r="55" spans="1:6">
      <c r="A55" s="55" t="s">
        <v>84</v>
      </c>
      <c r="B55" s="11">
        <f t="shared" si="4"/>
        <v>74885.399999999994</v>
      </c>
      <c r="C55" s="12"/>
      <c r="D55" s="12">
        <f>12480.9+8320.6</f>
        <v>20801.5</v>
      </c>
      <c r="E55" s="12">
        <f>16641.2*2</f>
        <v>33282.400000000001</v>
      </c>
      <c r="F55" s="11">
        <v>20801.5</v>
      </c>
    </row>
    <row r="56" spans="1:6">
      <c r="A56" s="55" t="s">
        <v>85</v>
      </c>
      <c r="B56" s="60">
        <f>4500+8750+15750+10000+4500+5000</f>
        <v>48500</v>
      </c>
      <c r="C56" s="12">
        <f>B56*C26</f>
        <v>21795.9</v>
      </c>
      <c r="D56" s="12">
        <f>B56*D26</f>
        <v>12076.5</v>
      </c>
      <c r="E56" s="12">
        <f>B56*E26</f>
        <v>11256.85</v>
      </c>
      <c r="F56" s="11">
        <f>B56*F26</f>
        <v>3370.7500000000005</v>
      </c>
    </row>
    <row r="57" spans="1:6">
      <c r="A57" s="55"/>
      <c r="B57" s="11">
        <f t="shared" si="4"/>
        <v>0</v>
      </c>
      <c r="C57" s="12"/>
      <c r="D57" s="12"/>
      <c r="E57" s="12"/>
      <c r="F57" s="11"/>
    </row>
    <row r="58" spans="1:6">
      <c r="A58" s="44" t="s">
        <v>36</v>
      </c>
      <c r="B58" s="45">
        <f>SUM(B27:B57)</f>
        <v>15625937.419999998</v>
      </c>
      <c r="C58" s="45">
        <f>SUM(C27:C57)</f>
        <v>6894459.2759680012</v>
      </c>
      <c r="D58" s="45">
        <f>SUM(D27:D57)</f>
        <v>3759820.4432800002</v>
      </c>
      <c r="E58" s="45">
        <f>SUM(E27:E57)</f>
        <v>3465061.1187119992</v>
      </c>
      <c r="F58" s="45">
        <f>SUM(F27:F57)</f>
        <v>1506596.58204</v>
      </c>
    </row>
    <row r="59" spans="1:6">
      <c r="C59" s="58"/>
      <c r="D59" s="58"/>
      <c r="E59" s="58"/>
    </row>
    <row r="60" spans="1:6">
      <c r="B60" s="59">
        <f>B21-B58</f>
        <v>-2182169.8499999978</v>
      </c>
      <c r="C60" s="59">
        <f>C21-C58</f>
        <v>-626934.20596800186</v>
      </c>
      <c r="D60" s="59">
        <f>D21-D58</f>
        <v>-225278.87328000041</v>
      </c>
      <c r="E60" s="59">
        <f>E21-E58</f>
        <v>-370167.87871199893</v>
      </c>
      <c r="F60" s="59">
        <f>F21-F58</f>
        <v>-733538.70204000012</v>
      </c>
    </row>
    <row r="61" spans="1:6">
      <c r="B61" s="59"/>
    </row>
  </sheetData>
  <mergeCells count="12">
    <mergeCell ref="A18:F18"/>
    <mergeCell ref="A23:A24"/>
    <mergeCell ref="B23:B24"/>
    <mergeCell ref="A2:E2"/>
    <mergeCell ref="A3:E3"/>
    <mergeCell ref="A4:E4"/>
    <mergeCell ref="B6:B7"/>
    <mergeCell ref="A6:A8"/>
    <mergeCell ref="C23:F23"/>
    <mergeCell ref="C6:F6"/>
    <mergeCell ref="A9:F9"/>
    <mergeCell ref="A16:F16"/>
  </mergeCells>
  <pageMargins left="0.46" right="0.11" top="0.35" bottom="0.42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30" sqref="G30"/>
    </sheetView>
  </sheetViews>
  <sheetFormatPr defaultRowHeight="15"/>
  <cols>
    <col min="1" max="1" width="35.7109375" customWidth="1"/>
    <col min="2" max="4" width="17.85546875" customWidth="1"/>
    <col min="5" max="5" width="17.7109375" customWidth="1"/>
    <col min="6" max="6" width="18.85546875" customWidth="1"/>
  </cols>
  <sheetData>
    <row r="1" spans="1:6" ht="33.75">
      <c r="A1" s="78" t="s">
        <v>26</v>
      </c>
      <c r="B1" s="78"/>
      <c r="C1" s="78"/>
      <c r="D1" s="78"/>
      <c r="E1" s="78"/>
      <c r="F1" s="78"/>
    </row>
    <row r="3" spans="1:6">
      <c r="A3" s="77" t="s">
        <v>5</v>
      </c>
      <c r="B3" s="77"/>
      <c r="C3" s="77"/>
      <c r="D3" s="77"/>
      <c r="E3" s="77"/>
      <c r="F3" s="77"/>
    </row>
    <row r="4" spans="1:6" ht="30">
      <c r="A4" s="9" t="s">
        <v>6</v>
      </c>
      <c r="B4" s="8" t="s">
        <v>17</v>
      </c>
      <c r="C4" s="9" t="s">
        <v>18</v>
      </c>
      <c r="D4" s="9" t="s">
        <v>19</v>
      </c>
      <c r="E4" s="9" t="s">
        <v>7</v>
      </c>
      <c r="F4" s="9" t="s">
        <v>8</v>
      </c>
    </row>
    <row r="5" spans="1:6" ht="15" customHeight="1">
      <c r="A5" s="1" t="s">
        <v>9</v>
      </c>
      <c r="B5" s="1">
        <v>1</v>
      </c>
      <c r="C5" s="2">
        <v>70000</v>
      </c>
      <c r="D5" s="2">
        <f>C5*B5</f>
        <v>70000</v>
      </c>
      <c r="E5" s="2">
        <f>D5*30.2%</f>
        <v>21140</v>
      </c>
      <c r="F5" s="2">
        <f>(D5+E5)*12</f>
        <v>1093680</v>
      </c>
    </row>
    <row r="6" spans="1:6" ht="15" customHeight="1">
      <c r="A6" s="1" t="s">
        <v>10</v>
      </c>
      <c r="B6" s="1">
        <v>1</v>
      </c>
      <c r="C6" s="2">
        <v>60000</v>
      </c>
      <c r="D6" s="2">
        <f t="shared" ref="D6:D12" si="0">C6*B6</f>
        <v>60000</v>
      </c>
      <c r="E6" s="2">
        <f t="shared" ref="E6:E12" si="1">D6*30.2%</f>
        <v>18120</v>
      </c>
      <c r="F6" s="2">
        <f t="shared" ref="F6:F12" si="2">(D6+E6)*12</f>
        <v>937440</v>
      </c>
    </row>
    <row r="7" spans="1:6" ht="15" customHeight="1">
      <c r="A7" s="1" t="s">
        <v>14</v>
      </c>
      <c r="B7" s="1">
        <v>1</v>
      </c>
      <c r="C7" s="2">
        <v>60000</v>
      </c>
      <c r="D7" s="2">
        <f t="shared" si="0"/>
        <v>60000</v>
      </c>
      <c r="E7" s="2">
        <f t="shared" si="1"/>
        <v>18120</v>
      </c>
      <c r="F7" s="2">
        <f t="shared" si="2"/>
        <v>937440</v>
      </c>
    </row>
    <row r="8" spans="1:6" ht="15" customHeight="1">
      <c r="A8" s="1" t="s">
        <v>13</v>
      </c>
      <c r="B8" s="1">
        <v>1</v>
      </c>
      <c r="C8" s="2">
        <v>40000</v>
      </c>
      <c r="D8" s="2">
        <f t="shared" si="0"/>
        <v>40000</v>
      </c>
      <c r="E8" s="2">
        <f t="shared" si="1"/>
        <v>12080</v>
      </c>
      <c r="F8" s="2">
        <f t="shared" si="2"/>
        <v>624960</v>
      </c>
    </row>
    <row r="9" spans="1:6" ht="15" customHeight="1">
      <c r="A9" s="1" t="s">
        <v>11</v>
      </c>
      <c r="B9" s="1">
        <v>2</v>
      </c>
      <c r="C9" s="2">
        <v>40000</v>
      </c>
      <c r="D9" s="2">
        <f t="shared" si="0"/>
        <v>80000</v>
      </c>
      <c r="E9" s="2">
        <f t="shared" si="1"/>
        <v>24160</v>
      </c>
      <c r="F9" s="2">
        <f t="shared" si="2"/>
        <v>1249920</v>
      </c>
    </row>
    <row r="10" spans="1:6" ht="15" customHeight="1">
      <c r="A10" s="1" t="s">
        <v>12</v>
      </c>
      <c r="B10" s="1">
        <v>1</v>
      </c>
      <c r="C10" s="2">
        <v>35000</v>
      </c>
      <c r="D10" s="2">
        <f t="shared" si="0"/>
        <v>35000</v>
      </c>
      <c r="E10" s="2">
        <f t="shared" si="1"/>
        <v>10570</v>
      </c>
      <c r="F10" s="2">
        <f t="shared" si="2"/>
        <v>546840</v>
      </c>
    </row>
    <row r="11" spans="1:6" ht="15" customHeight="1">
      <c r="A11" s="5" t="s">
        <v>15</v>
      </c>
      <c r="B11" s="5">
        <v>1</v>
      </c>
      <c r="C11" s="2">
        <v>30000</v>
      </c>
      <c r="D11" s="2">
        <f t="shared" si="0"/>
        <v>30000</v>
      </c>
      <c r="E11" s="2">
        <f t="shared" si="1"/>
        <v>9060</v>
      </c>
      <c r="F11" s="2">
        <f t="shared" si="2"/>
        <v>468720</v>
      </c>
    </row>
    <row r="12" spans="1:6" ht="15" customHeight="1">
      <c r="A12" s="5" t="s">
        <v>48</v>
      </c>
      <c r="B12" s="5">
        <v>1</v>
      </c>
      <c r="C12" s="2">
        <v>30000</v>
      </c>
      <c r="D12" s="2">
        <f t="shared" si="0"/>
        <v>30000</v>
      </c>
      <c r="E12" s="2">
        <f t="shared" si="1"/>
        <v>9060</v>
      </c>
      <c r="F12" s="2">
        <f t="shared" si="2"/>
        <v>468720</v>
      </c>
    </row>
    <row r="13" spans="1:6">
      <c r="A13" s="7" t="s">
        <v>16</v>
      </c>
      <c r="B13" s="7">
        <f>SUM(B5:B12)</f>
        <v>9</v>
      </c>
      <c r="C13" s="6">
        <f>SUM(C5:C12)</f>
        <v>365000</v>
      </c>
      <c r="D13" s="6">
        <f>SUM(D5:D12)</f>
        <v>405000</v>
      </c>
      <c r="E13" s="6">
        <f>SUM(E5:E12)</f>
        <v>122310</v>
      </c>
      <c r="F13" s="6">
        <f>SUM(F5:F12)</f>
        <v>6327720</v>
      </c>
    </row>
    <row r="14" spans="1:6">
      <c r="C14" s="3"/>
      <c r="D14" s="3"/>
      <c r="E14" s="3"/>
      <c r="F14" s="3"/>
    </row>
    <row r="15" spans="1:6">
      <c r="A15" s="77" t="s">
        <v>20</v>
      </c>
      <c r="B15" s="77"/>
      <c r="C15" s="77"/>
      <c r="D15" s="77"/>
      <c r="E15" s="77"/>
      <c r="F15" s="77"/>
    </row>
    <row r="16" spans="1:6" ht="30">
      <c r="A16" s="9" t="s">
        <v>6</v>
      </c>
      <c r="B16" s="8" t="s">
        <v>17</v>
      </c>
      <c r="C16" s="9" t="s">
        <v>18</v>
      </c>
      <c r="D16" s="9" t="s">
        <v>19</v>
      </c>
      <c r="E16" s="9" t="s">
        <v>7</v>
      </c>
      <c r="F16" s="9" t="s">
        <v>8</v>
      </c>
    </row>
    <row r="17" spans="1:6">
      <c r="A17" s="1" t="s">
        <v>21</v>
      </c>
      <c r="B17" s="1">
        <v>1</v>
      </c>
      <c r="C17" s="2">
        <v>29000</v>
      </c>
      <c r="D17" s="2">
        <f>B17*C17</f>
        <v>29000</v>
      </c>
      <c r="E17" s="2">
        <f>D17*30.2%</f>
        <v>8758</v>
      </c>
      <c r="F17" s="2">
        <f>(D17+E17)*12</f>
        <v>453096</v>
      </c>
    </row>
    <row r="18" spans="1:6">
      <c r="A18" s="1" t="s">
        <v>22</v>
      </c>
      <c r="B18" s="1">
        <v>1</v>
      </c>
      <c r="C18" s="2">
        <v>35000</v>
      </c>
      <c r="D18" s="2">
        <f t="shared" ref="D18:D21" si="3">B18*C18</f>
        <v>35000</v>
      </c>
      <c r="E18" s="2">
        <f t="shared" ref="E18:E21" si="4">D18*30.2%</f>
        <v>10570</v>
      </c>
      <c r="F18" s="2">
        <f t="shared" ref="F18:F21" si="5">(D18+E18)*12</f>
        <v>546840</v>
      </c>
    </row>
    <row r="19" spans="1:6">
      <c r="A19" s="1" t="s">
        <v>23</v>
      </c>
      <c r="B19" s="1">
        <v>1</v>
      </c>
      <c r="C19" s="2">
        <v>35000</v>
      </c>
      <c r="D19" s="2">
        <f t="shared" si="3"/>
        <v>35000</v>
      </c>
      <c r="E19" s="2">
        <f t="shared" si="4"/>
        <v>10570</v>
      </c>
      <c r="F19" s="2">
        <f t="shared" si="5"/>
        <v>546840</v>
      </c>
    </row>
    <row r="20" spans="1:6">
      <c r="A20" s="1" t="s">
        <v>24</v>
      </c>
      <c r="B20" s="1">
        <v>3</v>
      </c>
      <c r="C20" s="2">
        <v>20000</v>
      </c>
      <c r="D20" s="2">
        <f t="shared" si="3"/>
        <v>60000</v>
      </c>
      <c r="E20" s="2">
        <f t="shared" si="4"/>
        <v>18120</v>
      </c>
      <c r="F20" s="2">
        <f t="shared" si="5"/>
        <v>937440</v>
      </c>
    </row>
    <row r="21" spans="1:6">
      <c r="A21" s="1" t="s">
        <v>25</v>
      </c>
      <c r="B21" s="1">
        <v>3</v>
      </c>
      <c r="C21" s="2">
        <v>20000</v>
      </c>
      <c r="D21" s="2">
        <f t="shared" si="3"/>
        <v>60000</v>
      </c>
      <c r="E21" s="2">
        <f t="shared" si="4"/>
        <v>18120</v>
      </c>
      <c r="F21" s="2">
        <f t="shared" si="5"/>
        <v>937440</v>
      </c>
    </row>
    <row r="22" spans="1:6">
      <c r="A22" s="7" t="s">
        <v>16</v>
      </c>
      <c r="B22" s="7">
        <f>SUM(B17:B21)</f>
        <v>9</v>
      </c>
      <c r="C22" s="6">
        <f>SUM(C17:C21)</f>
        <v>139000</v>
      </c>
      <c r="D22" s="6">
        <f>SUM(D17:D21)</f>
        <v>219000</v>
      </c>
      <c r="E22" s="6">
        <f>SUM(E17:E21)</f>
        <v>66138</v>
      </c>
      <c r="F22" s="6">
        <f>SUM(F17:F21)</f>
        <v>3421656</v>
      </c>
    </row>
    <row r="24" spans="1:6">
      <c r="F24" s="3"/>
    </row>
  </sheetData>
  <mergeCells count="3">
    <mergeCell ref="A3:F3"/>
    <mergeCell ref="A15:F15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opLeftCell="D1" workbookViewId="0">
      <selection activeCell="J11" sqref="J11"/>
    </sheetView>
  </sheetViews>
  <sheetFormatPr defaultRowHeight="15"/>
  <cols>
    <col min="1" max="1" width="32.7109375" style="16" customWidth="1"/>
    <col min="2" max="12" width="18.7109375" style="16" customWidth="1"/>
    <col min="13" max="16384" width="9.140625" style="16"/>
  </cols>
  <sheetData>
    <row r="1" spans="1:14" ht="26.2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5"/>
      <c r="N1" s="15"/>
    </row>
    <row r="2" spans="1:14" ht="26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s="18" customFormat="1" ht="26.25" customHeight="1">
      <c r="A3" s="79" t="s">
        <v>37</v>
      </c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3" t="s">
        <v>51</v>
      </c>
      <c r="L3" s="84" t="s">
        <v>54</v>
      </c>
    </row>
    <row r="4" spans="1:14" s="18" customFormat="1" ht="26.25" customHeight="1">
      <c r="A4" s="80"/>
      <c r="B4" s="85" t="s">
        <v>39</v>
      </c>
      <c r="C4" s="85"/>
      <c r="D4" s="85"/>
      <c r="E4" s="86">
        <v>12</v>
      </c>
      <c r="F4" s="86"/>
      <c r="G4" s="86"/>
      <c r="H4" s="86">
        <v>16</v>
      </c>
      <c r="I4" s="86"/>
      <c r="J4" s="86"/>
      <c r="K4" s="83"/>
      <c r="L4" s="84"/>
    </row>
    <row r="5" spans="1:14" s="18" customFormat="1" ht="31.5">
      <c r="A5" s="81"/>
      <c r="B5" s="19" t="s">
        <v>49</v>
      </c>
      <c r="C5" s="20" t="s">
        <v>50</v>
      </c>
      <c r="D5" s="20" t="s">
        <v>52</v>
      </c>
      <c r="E5" s="19" t="s">
        <v>49</v>
      </c>
      <c r="F5" s="20" t="s">
        <v>50</v>
      </c>
      <c r="G5" s="20" t="s">
        <v>52</v>
      </c>
      <c r="H5" s="19" t="s">
        <v>49</v>
      </c>
      <c r="I5" s="20" t="s">
        <v>50</v>
      </c>
      <c r="J5" s="20" t="s">
        <v>52</v>
      </c>
      <c r="K5" s="83"/>
      <c r="L5" s="84"/>
      <c r="M5" s="21"/>
    </row>
    <row r="6" spans="1:14" s="18" customFormat="1" ht="15.75">
      <c r="A6" s="22" t="s">
        <v>38</v>
      </c>
      <c r="B6" s="22">
        <v>500</v>
      </c>
      <c r="C6" s="23">
        <v>6000</v>
      </c>
      <c r="D6" s="23">
        <v>7500</v>
      </c>
      <c r="E6" s="22">
        <v>500</v>
      </c>
      <c r="F6" s="23">
        <v>6000</v>
      </c>
      <c r="G6" s="23">
        <v>7500</v>
      </c>
      <c r="H6" s="22">
        <v>500</v>
      </c>
      <c r="I6" s="23">
        <v>6000</v>
      </c>
      <c r="J6" s="23">
        <v>7500</v>
      </c>
      <c r="K6" s="23">
        <f>C6+F6+I6</f>
        <v>18000</v>
      </c>
      <c r="L6" s="23">
        <f>D6+G6+J6</f>
        <v>22500</v>
      </c>
    </row>
    <row r="7" spans="1:14" s="18" customFormat="1" ht="15.75">
      <c r="A7" s="22" t="s">
        <v>44</v>
      </c>
      <c r="B7" s="22">
        <v>500</v>
      </c>
      <c r="C7" s="23">
        <v>6000</v>
      </c>
      <c r="D7" s="23">
        <v>0</v>
      </c>
      <c r="E7" s="22">
        <v>500</v>
      </c>
      <c r="F7" s="23">
        <v>6000</v>
      </c>
      <c r="G7" s="23">
        <v>0</v>
      </c>
      <c r="H7" s="22">
        <v>500</v>
      </c>
      <c r="I7" s="23">
        <v>6000</v>
      </c>
      <c r="J7" s="23">
        <v>0</v>
      </c>
      <c r="K7" s="23">
        <f t="shared" ref="K7:K11" si="0">C7+F7+I7</f>
        <v>18000</v>
      </c>
      <c r="L7" s="23">
        <f t="shared" ref="L7:L10" si="1">D7+G7+J7</f>
        <v>0</v>
      </c>
    </row>
    <row r="8" spans="1:14" s="18" customFormat="1" ht="15.75">
      <c r="A8" s="22" t="s">
        <v>41</v>
      </c>
      <c r="B8" s="22">
        <v>703</v>
      </c>
      <c r="C8" s="23">
        <f>703*12</f>
        <v>8436</v>
      </c>
      <c r="D8" s="23">
        <f>8436+703+703+703</f>
        <v>10545</v>
      </c>
      <c r="E8" s="23">
        <v>1154.25</v>
      </c>
      <c r="F8" s="23">
        <f>E8*12</f>
        <v>13851</v>
      </c>
      <c r="G8" s="23">
        <f>13851+1154.24+1154.24+1154.24</f>
        <v>17313.72</v>
      </c>
      <c r="H8" s="23">
        <v>0</v>
      </c>
      <c r="I8" s="23">
        <v>0</v>
      </c>
      <c r="J8" s="24">
        <v>0</v>
      </c>
      <c r="K8" s="23">
        <f t="shared" si="0"/>
        <v>22287</v>
      </c>
      <c r="L8" s="23">
        <f t="shared" si="1"/>
        <v>27858.720000000001</v>
      </c>
    </row>
    <row r="9" spans="1:14" s="18" customFormat="1" ht="15.75">
      <c r="A9" s="22" t="s">
        <v>42</v>
      </c>
      <c r="B9" s="25">
        <v>600</v>
      </c>
      <c r="C9" s="23">
        <f>600*12</f>
        <v>7200</v>
      </c>
      <c r="D9" s="23">
        <f>B9*9-600</f>
        <v>4800</v>
      </c>
      <c r="E9" s="25">
        <f>900</f>
        <v>900</v>
      </c>
      <c r="F9" s="23">
        <f>900*12</f>
        <v>10800</v>
      </c>
      <c r="G9" s="23">
        <f>900*9-900</f>
        <v>7200</v>
      </c>
      <c r="H9" s="25">
        <v>600</v>
      </c>
      <c r="I9" s="23">
        <f>12*H9</f>
        <v>7200</v>
      </c>
      <c r="J9" s="23">
        <f>H9*9-300</f>
        <v>5100</v>
      </c>
      <c r="K9" s="23">
        <f t="shared" si="0"/>
        <v>25200</v>
      </c>
      <c r="L9" s="23">
        <f t="shared" si="1"/>
        <v>17100</v>
      </c>
    </row>
    <row r="10" spans="1:14" s="18" customFormat="1" ht="15.75">
      <c r="A10" s="22" t="s">
        <v>43</v>
      </c>
      <c r="B10" s="22">
        <v>500</v>
      </c>
      <c r="C10" s="23">
        <v>6000</v>
      </c>
      <c r="D10" s="23">
        <f>B10*9</f>
        <v>4500</v>
      </c>
      <c r="E10" s="22">
        <v>500</v>
      </c>
      <c r="F10" s="23">
        <v>6000</v>
      </c>
      <c r="G10" s="23">
        <f>E10*9</f>
        <v>4500</v>
      </c>
      <c r="H10" s="22">
        <v>500</v>
      </c>
      <c r="I10" s="23">
        <v>6000</v>
      </c>
      <c r="J10" s="23">
        <f>H10*9</f>
        <v>4500</v>
      </c>
      <c r="K10" s="23">
        <f t="shared" si="0"/>
        <v>18000</v>
      </c>
      <c r="L10" s="23">
        <f t="shared" si="1"/>
        <v>13500</v>
      </c>
    </row>
    <row r="11" spans="1:14" s="29" customFormat="1" ht="18.75">
      <c r="A11" s="26" t="s">
        <v>16</v>
      </c>
      <c r="B11" s="27" t="s">
        <v>53</v>
      </c>
      <c r="C11" s="28">
        <f>SUM(C6:C10)</f>
        <v>33636</v>
      </c>
      <c r="D11" s="28">
        <f>SUM(D6:D10)</f>
        <v>27345</v>
      </c>
      <c r="E11" s="27" t="s">
        <v>53</v>
      </c>
      <c r="F11" s="28">
        <f>SUM(F6:F10)</f>
        <v>42651</v>
      </c>
      <c r="G11" s="28">
        <f>SUM(G6:G10)</f>
        <v>36513.72</v>
      </c>
      <c r="H11" s="27" t="s">
        <v>53</v>
      </c>
      <c r="I11" s="28">
        <f>SUM(I6:I10)</f>
        <v>25200</v>
      </c>
      <c r="J11" s="28">
        <f>SUM(J6:J10)</f>
        <v>17100</v>
      </c>
      <c r="K11" s="28">
        <f t="shared" si="0"/>
        <v>101487</v>
      </c>
      <c r="L11" s="28">
        <f>SUM(L6:L10)</f>
        <v>80958.720000000001</v>
      </c>
    </row>
  </sheetData>
  <mergeCells count="8">
    <mergeCell ref="A3:A5"/>
    <mergeCell ref="A1:L1"/>
    <mergeCell ref="K3:K5"/>
    <mergeCell ref="L3:L5"/>
    <mergeCell ref="B4:D4"/>
    <mergeCell ref="E4:G4"/>
    <mergeCell ref="H4:J4"/>
    <mergeCell ref="B3:J3"/>
  </mergeCells>
  <pageMargins left="0.28000000000000003" right="0.26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расшифровка ФОТ</vt:lpstr>
      <vt:lpstr>провайдеры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2022-03-30T11:33:58Z</dcterms:modified>
</cp:coreProperties>
</file>